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ymsoffice-my.sharepoint.com/personal/john_hicks_ky_gov/Documents/John.Hicks (eas.ds.ky.govdfsosbdusers)/SAFE Funds/"/>
    </mc:Choice>
  </mc:AlternateContent>
  <xr:revisionPtr revIDLastSave="135" documentId="8_{13F89D65-2618-4545-A458-51C4427D47FA}" xr6:coauthVersionLast="47" xr6:coauthVersionMax="47" xr10:uidLastSave="{A28C5D45-22A6-4FB2-A358-CA2D277BA32A}"/>
  <bookViews>
    <workbookView xWindow="28680" yWindow="-120" windowWidth="29040" windowHeight="15720" activeTab="2" xr2:uid="{09675E99-315F-4B19-9ADE-9EA6E247B5AB}"/>
  </bookViews>
  <sheets>
    <sheet name="WKY" sheetId="1" r:id="rId1"/>
    <sheet name="EKY" sheetId="2" r:id="rId2"/>
    <sheet name="4860" sheetId="4" r:id="rId3"/>
    <sheet name="Denied" sheetId="3" r:id="rId4"/>
  </sheets>
  <definedNames>
    <definedName name="_xlnm.Print_Titles" localSheetId="1">EKY!$11:$13</definedName>
    <definedName name="_xlnm.Print_Titles" localSheetId="0">WKY!$A:$A,WKY!$1:$6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4" l="1"/>
  <c r="F24" i="4" l="1"/>
  <c r="B32" i="4" l="1"/>
  <c r="D10" i="4" l="1"/>
  <c r="B16" i="4"/>
  <c r="D16" i="4" s="1"/>
  <c r="E22" i="4"/>
  <c r="E24" i="4" s="1"/>
  <c r="B46" i="2" l="1"/>
  <c r="H23" i="2"/>
  <c r="B23" i="2"/>
  <c r="D9" i="4"/>
  <c r="D24" i="4" s="1"/>
  <c r="B9" i="4"/>
  <c r="B24" i="4" s="1"/>
  <c r="B25" i="4" s="1"/>
  <c r="B12" i="1"/>
  <c r="B44" i="2" l="1"/>
  <c r="D48" i="1" l="1"/>
  <c r="D58" i="2" l="1"/>
  <c r="B58" i="2"/>
  <c r="D57" i="2" l="1"/>
  <c r="B57" i="2"/>
  <c r="H94" i="2" l="1"/>
  <c r="B94" i="2"/>
  <c r="D37" i="1" l="1"/>
  <c r="B37" i="1"/>
  <c r="D82" i="2"/>
  <c r="B82" i="2"/>
  <c r="D72" i="2"/>
  <c r="B72" i="2"/>
  <c r="D60" i="2"/>
  <c r="B60" i="2"/>
  <c r="K21" i="1" l="1"/>
  <c r="D78" i="2" l="1"/>
  <c r="D84" i="2" s="1"/>
  <c r="B21" i="1"/>
  <c r="B78" i="2"/>
  <c r="H14" i="1" l="1"/>
  <c r="B14" i="1"/>
  <c r="D54" i="2" l="1"/>
  <c r="B54" i="2"/>
  <c r="F45" i="1" l="1"/>
  <c r="B45" i="1"/>
  <c r="B26" i="1"/>
  <c r="E42" i="1" l="1"/>
  <c r="B42" i="1"/>
  <c r="K24" i="1"/>
  <c r="B24" i="1"/>
  <c r="B15" i="1"/>
  <c r="B34" i="2"/>
  <c r="B84" i="2" l="1"/>
  <c r="B85" i="2" s="1"/>
  <c r="B7" i="2"/>
  <c r="K28" i="1"/>
  <c r="B28" i="1"/>
  <c r="K27" i="1"/>
  <c r="B27" i="1"/>
  <c r="D64" i="2" l="1"/>
  <c r="B64" i="2"/>
  <c r="B41" i="1" l="1"/>
  <c r="F41" i="1"/>
  <c r="E41" i="1"/>
  <c r="G21" i="1" l="1"/>
  <c r="D21" i="1" l="1"/>
  <c r="H47" i="2" l="1"/>
  <c r="B47" i="2"/>
  <c r="K30" i="1"/>
  <c r="B30" i="1"/>
  <c r="H36" i="2"/>
  <c r="B36" i="2"/>
  <c r="E36" i="2" l="1"/>
  <c r="B37" i="2"/>
  <c r="J36" i="1" l="1"/>
  <c r="B36" i="1"/>
  <c r="K23" i="1"/>
  <c r="B23" i="1"/>
  <c r="B16" i="1" l="1"/>
  <c r="K16" i="1"/>
  <c r="B3" i="1" l="1"/>
  <c r="E46" i="1" l="1"/>
  <c r="B46" i="1"/>
  <c r="B35" i="1"/>
  <c r="F49" i="2" l="1"/>
  <c r="F98" i="2" s="1"/>
  <c r="D35" i="1"/>
  <c r="E21" i="1"/>
  <c r="B35" i="2"/>
  <c r="B28" i="2"/>
  <c r="B29" i="2"/>
  <c r="B33" i="1" l="1"/>
  <c r="D39" i="2"/>
  <c r="B39" i="2"/>
  <c r="D44" i="2"/>
  <c r="D24" i="2"/>
  <c r="B24" i="2"/>
  <c r="B19" i="2" l="1"/>
  <c r="D27" i="2"/>
  <c r="B27" i="2"/>
  <c r="D18" i="2"/>
  <c r="B18" i="2"/>
  <c r="B16" i="2"/>
  <c r="H46" i="2" l="1"/>
  <c r="E45" i="1"/>
  <c r="B29" i="1" l="1"/>
  <c r="D21" i="2"/>
  <c r="G22" i="2"/>
  <c r="G49" i="2" s="1"/>
  <c r="G98" i="2" s="1"/>
  <c r="B22" i="2"/>
  <c r="H49" i="2"/>
  <c r="H98" i="2" s="1"/>
  <c r="D33" i="2"/>
  <c r="B33" i="2"/>
  <c r="B21" i="2" l="1"/>
  <c r="B20" i="2"/>
  <c r="J47" i="1" l="1"/>
  <c r="I47" i="1"/>
  <c r="H47" i="1"/>
  <c r="G47" i="1"/>
  <c r="D26" i="2" l="1"/>
  <c r="B26" i="2"/>
  <c r="B4" i="2" l="1"/>
  <c r="B10" i="2" s="1"/>
  <c r="B65" i="2"/>
  <c r="B15" i="2"/>
  <c r="B96" i="2"/>
  <c r="B97" i="2" s="1"/>
  <c r="E17" i="2" l="1"/>
  <c r="B41" i="2"/>
  <c r="B17" i="2"/>
  <c r="E33" i="2"/>
  <c r="B10" i="1" l="1"/>
  <c r="L10" i="1" s="1"/>
  <c r="L14" i="1"/>
  <c r="L46" i="1"/>
  <c r="L45" i="1"/>
  <c r="L44" i="1"/>
  <c r="L42" i="1"/>
  <c r="L41" i="1"/>
  <c r="L39" i="1"/>
  <c r="L38" i="1"/>
  <c r="L35" i="1"/>
  <c r="L31" i="1"/>
  <c r="L29" i="1"/>
  <c r="L28" i="1"/>
  <c r="L26" i="1"/>
  <c r="L24" i="1"/>
  <c r="L21" i="1"/>
  <c r="L20" i="1"/>
  <c r="L17" i="1"/>
  <c r="L15" i="1"/>
  <c r="L9" i="1"/>
  <c r="L8" i="1"/>
  <c r="E43" i="1"/>
  <c r="F37" i="1"/>
  <c r="K37" i="1"/>
  <c r="E37" i="1"/>
  <c r="F33" i="1"/>
  <c r="E33" i="1"/>
  <c r="E30" i="1"/>
  <c r="D30" i="1"/>
  <c r="F30" i="1"/>
  <c r="F27" i="1"/>
  <c r="D27" i="1"/>
  <c r="E27" i="1"/>
  <c r="D23" i="1"/>
  <c r="E23" i="1"/>
  <c r="D19" i="1"/>
  <c r="E19" i="1"/>
  <c r="F19" i="1"/>
  <c r="E16" i="1"/>
  <c r="D47" i="1" l="1"/>
  <c r="E47" i="1"/>
  <c r="K47" i="1"/>
  <c r="F47" i="1"/>
  <c r="L33" i="1"/>
  <c r="L37" i="1"/>
  <c r="L27" i="1"/>
  <c r="L23" i="1"/>
  <c r="B90" i="2"/>
  <c r="E24" i="2"/>
  <c r="E49" i="2" s="1"/>
  <c r="E98" i="2" s="1"/>
  <c r="D36" i="2"/>
  <c r="D49" i="2" s="1"/>
  <c r="D98" i="2" s="1"/>
  <c r="L30" i="1" l="1"/>
  <c r="B48" i="2"/>
  <c r="B49" i="2" l="1"/>
  <c r="B43" i="1" l="1"/>
  <c r="L43" i="1" s="1"/>
  <c r="L16" i="1" l="1"/>
  <c r="B19" i="1" l="1"/>
  <c r="L19" i="1" l="1"/>
  <c r="B47" i="1"/>
  <c r="B50" i="2"/>
  <c r="L47" i="1" l="1"/>
  <c r="L48" i="1" l="1"/>
</calcChain>
</file>

<file path=xl/sharedStrings.xml><?xml version="1.0" encoding="utf-8"?>
<sst xmlns="http://schemas.openxmlformats.org/spreadsheetml/2006/main" count="353" uniqueCount="249">
  <si>
    <t>Recipient</t>
  </si>
  <si>
    <t>Amount</t>
  </si>
  <si>
    <t>Description of How</t>
  </si>
  <si>
    <t>Money Used</t>
  </si>
  <si>
    <t>Hopkins County Fiscal Court</t>
  </si>
  <si>
    <t>Caldwell County</t>
  </si>
  <si>
    <t>Marshall County Fiscal Court</t>
  </si>
  <si>
    <t>Graves County Fiscal Court</t>
  </si>
  <si>
    <t>Hickman County Fiscal Court</t>
  </si>
  <si>
    <t>Bowling Green Independent School District</t>
  </si>
  <si>
    <t>Fulton County Fiscal Court</t>
  </si>
  <si>
    <t>Lyon County Fiscal Court</t>
  </si>
  <si>
    <t>Christian County Fiscal Court</t>
  </si>
  <si>
    <t>Hopkins County Health Department</t>
  </si>
  <si>
    <t>Mayfield Electric and Water Systems</t>
  </si>
  <si>
    <t>Muhlenberg County Fiscal Court</t>
  </si>
  <si>
    <t>Ohio County Fiscal Court</t>
  </si>
  <si>
    <t>Taylor County Fiscal Court</t>
  </si>
  <si>
    <t>West Kentucky Rural Electric Cooperative</t>
  </si>
  <si>
    <t>Local share of damage costs claimed with FEMA</t>
  </si>
  <si>
    <t>Local share of damage costs claimed with FEMA, strained fiscal liquidity, debris removal costs ineligible for FEMA claims, ditch and culvert repair</t>
  </si>
  <si>
    <t>Local share of damage costs claimed with FEMA, strained fiscal liquidity</t>
  </si>
  <si>
    <t>Local share of damage costs claimed with FEMA, debris removal costs ineligible for FEMA claims</t>
  </si>
  <si>
    <t>Strained fiscal liquidity, local share of damage costs claimed with FEMA, debris removal costs ineligible for FEMA claims, heavy equipment for debris removal operations</t>
  </si>
  <si>
    <t>Salt River Rural Electric Cooperative</t>
  </si>
  <si>
    <t>Pole replacements, repairing other damage ineligible for FEMA claims</t>
  </si>
  <si>
    <t>North Marshall Water District</t>
  </si>
  <si>
    <t>Princeton Electric Plant Board</t>
  </si>
  <si>
    <t>Murray State University</t>
  </si>
  <si>
    <t>Marshall County Refuse District</t>
  </si>
  <si>
    <t>Repair of entity's road damaged by debris hauling trucks</t>
  </si>
  <si>
    <t>Repair of damaged underground lines ineligible for FEMA claims</t>
  </si>
  <si>
    <t>Grain and Forage Center of Excellence</t>
  </si>
  <si>
    <t xml:space="preserve">Purchase of 200 travel trailers and costs of haulting, utility hook-ups, and related costs, campground upgrades </t>
  </si>
  <si>
    <t>West Ky SAFE Fund</t>
  </si>
  <si>
    <t>Knott County Water and Sewer District</t>
  </si>
  <si>
    <t>Letcher County Fiscal Court</t>
  </si>
  <si>
    <t>Letcher County Water and Sewer District</t>
  </si>
  <si>
    <t>Strained fiscal liquidity</t>
  </si>
  <si>
    <t>Knott County Fiscal Court</t>
  </si>
  <si>
    <t>Princeton Water and Wastewater System</t>
  </si>
  <si>
    <t>Emergency Management-Military Affairs</t>
  </si>
  <si>
    <t>Paintsville Utilities</t>
  </si>
  <si>
    <t>Pike County Fiscal Court</t>
  </si>
  <si>
    <t>East Ky SAFE Fund</t>
  </si>
  <si>
    <t>Strained fiscal liquidity, local share of damage costs claimed with FEMA</t>
  </si>
  <si>
    <t>Local share of damage costs claimed with FEMA, strained fiscal liquidity, debris removal costs ineligible for FEMA claims, road and ditch/culvert repairs</t>
  </si>
  <si>
    <t>Princeton, City of</t>
  </si>
  <si>
    <t>Mayfield, City of</t>
  </si>
  <si>
    <t>Benton, City of</t>
  </si>
  <si>
    <t>Bowling Green, City of</t>
  </si>
  <si>
    <t>Dawson Springs, City of</t>
  </si>
  <si>
    <t>Hazard, City of</t>
  </si>
  <si>
    <t>Awarded</t>
  </si>
  <si>
    <t>Paintsville, City of</t>
  </si>
  <si>
    <t>Knott County Board of Education</t>
  </si>
  <si>
    <t>Letcher County Board of Education</t>
  </si>
  <si>
    <t>Strained fiscal liquidity, floodplain coordinator, engineer, local share of damage costs claimed with FEMA</t>
  </si>
  <si>
    <t>Local share of damage costs claimed with FEMA, underground water and sewer line repairs ineligible for FEMA claims</t>
  </si>
  <si>
    <t>Floyd County Fiscal Court</t>
  </si>
  <si>
    <t>Appropriations</t>
  </si>
  <si>
    <t>Unawarded Balance</t>
  </si>
  <si>
    <t>Jenkins, City of</t>
  </si>
  <si>
    <t>Hindman, City of</t>
  </si>
  <si>
    <t>Johnson County Fiscal Court</t>
  </si>
  <si>
    <t>Magoffin County Fiscal Court</t>
  </si>
  <si>
    <t>Finance and Administration Cabinet</t>
  </si>
  <si>
    <t>Transportation Cabinet</t>
  </si>
  <si>
    <t>Whitesburg, City of</t>
  </si>
  <si>
    <t>Floodplain consultant; local share of damage costs claimed with FEMA</t>
  </si>
  <si>
    <t>Fleming Neon, City of</t>
  </si>
  <si>
    <t>Floodplain coordinator, local share of damage costs claimed with FEMA, and strained fiscal liquidity.</t>
  </si>
  <si>
    <t>Magoffin County Water District</t>
  </si>
  <si>
    <t>Mountain Water District, Pike County</t>
  </si>
  <si>
    <t>Buckhorn, Village of</t>
  </si>
  <si>
    <t>Jackson, City of</t>
  </si>
  <si>
    <t>Local share of damage costs claimed with FEMA, debris removal costs ineligible for FEMA claims, strained fiscal liquidity, road damage repairs ineligible for FEMA claims.</t>
  </si>
  <si>
    <t>SAFE Fund – Denied applications:</t>
  </si>
  <si>
    <t>Western Kentucky Rural Electric Cooperative – sought funding for equipment that was not damaged by the storm.</t>
  </si>
  <si>
    <t>Jackson Energy Cooperative</t>
  </si>
  <si>
    <t>Local</t>
  </si>
  <si>
    <t>Share of</t>
  </si>
  <si>
    <t xml:space="preserve">FEMA </t>
  </si>
  <si>
    <t>High-Ground</t>
  </si>
  <si>
    <t>Sites</t>
  </si>
  <si>
    <t>Floodplain</t>
  </si>
  <si>
    <t>Planning</t>
  </si>
  <si>
    <t>Other</t>
  </si>
  <si>
    <t>Check</t>
  </si>
  <si>
    <t>Strained</t>
  </si>
  <si>
    <t xml:space="preserve">Fiscal </t>
  </si>
  <si>
    <t>Liquidity</t>
  </si>
  <si>
    <t>House Bill 1 - Section 4 Balance</t>
  </si>
  <si>
    <t>Total Awards-House Bill 1 - Section 4</t>
  </si>
  <si>
    <t>Transportation Cabinet-Highways</t>
  </si>
  <si>
    <t>House Bill 1-Section 7 Balance</t>
  </si>
  <si>
    <t>Military Affairs-Emergency Management</t>
  </si>
  <si>
    <t xml:space="preserve">  House Bill 1 - Section 5</t>
  </si>
  <si>
    <t xml:space="preserve">  House Bill 1 - Section 7</t>
  </si>
  <si>
    <t xml:space="preserve">  House Bill 1 - Section 9</t>
  </si>
  <si>
    <t xml:space="preserve">Military Affairs-Emergency Management-Strained Fiscal Liquidity for School Districts &amp; nonprofit or public utility service providers </t>
  </si>
  <si>
    <t>Transportation-Highways for non-federal share of FEMA-eligible state road and bridge projects</t>
  </si>
  <si>
    <t>ARPA funds for water and sewer infrastructure projects necessary for recovery, rebuilding of replacement school buildings, and new housing sites</t>
  </si>
  <si>
    <t>Purpose</t>
  </si>
  <si>
    <t>ARPA Funds-Water and Sewer Infrastructure</t>
  </si>
  <si>
    <t>Ineligible</t>
  </si>
  <si>
    <t>Debris</t>
  </si>
  <si>
    <t>Travel</t>
  </si>
  <si>
    <t>Trailers</t>
  </si>
  <si>
    <t>FEMA-</t>
  </si>
  <si>
    <t>Community</t>
  </si>
  <si>
    <t>University of Kentucky</t>
  </si>
  <si>
    <t>Universities Total</t>
  </si>
  <si>
    <t>Universities</t>
  </si>
  <si>
    <t>Housing, facilities, staffing costs for storm related purposes</t>
  </si>
  <si>
    <t>Total Appropriations E Ky SAFE Fund</t>
  </si>
  <si>
    <t>Booneville, City of</t>
  </si>
  <si>
    <t>Strained fiscal liquidity; equipment for recovery</t>
  </si>
  <si>
    <t>Dawson Springs Independent Schools – sought funding for revenue loss prior to the amendments to the SAFE Fund by the 2022 Special</t>
  </si>
  <si>
    <t>fire equipment for a volunteer fire department that isn’t a part of the county government; therefore, not an eligible entity under the statute.</t>
  </si>
  <si>
    <t>Fulton County – 1) sought funding for a fire station generator that was not damaged by the storm, 2) sought funding for the replacement of</t>
  </si>
  <si>
    <t>The entity is applying to FEMA.</t>
  </si>
  <si>
    <t>Graves County – sought funding for a non-profit entity to construct a homeless shelter; therefore, not an eligible entity under the statute.</t>
  </si>
  <si>
    <t>Breathitt County Fiscal Court</t>
  </si>
  <si>
    <t>Breathitt County School District</t>
  </si>
  <si>
    <t>Clay County Fiscal Court</t>
  </si>
  <si>
    <t>Travel Trailers, eligible and ineligible private property debris removal on behalf of Letcher, Knott, Pike, and Perry counties.</t>
  </si>
  <si>
    <t>Kentucky Infrastructure Authority</t>
  </si>
  <si>
    <t>Owsley County Fiscal Court</t>
  </si>
  <si>
    <t>Bowling Green Municipal Utilities</t>
  </si>
  <si>
    <t>Rural Housing Assistance Trust Fund</t>
  </si>
  <si>
    <t>Strained Fiscal Liquidity-Schools &amp; Utilities</t>
  </si>
  <si>
    <t>Total Awards-House Bill 1-Section 5</t>
  </si>
  <si>
    <t>House Bill 1-Section 5 Balance</t>
  </si>
  <si>
    <t>House Bill 1-Section 5 (as amended by SB 99 23RS)</t>
  </si>
  <si>
    <t>House Bill 1-Section 4 (as amended by SB 99 23RS)</t>
  </si>
  <si>
    <t>(as modified by HB 448, Sec. 14 (23RS)</t>
  </si>
  <si>
    <t>Reserved for High-Ground Sites</t>
  </si>
  <si>
    <t xml:space="preserve">  HB 448-Section 13, HB 360-Secs. 29-34, (23RS)</t>
  </si>
  <si>
    <t>Equipment to use in debris cleanup and other recovery efforts. Strained fiscal liquidity.</t>
  </si>
  <si>
    <t xml:space="preserve">Strained fiscal liquidity, local share of damage costs claimed with FEMA, floodplain planning. </t>
  </si>
  <si>
    <t>Right-of-way expenses for Knott County-Olive Branch community road project. Local share of damage costs claimed with FEMA for county bridge repairs. Right-of-way, utility relocation expenses for Perry County-Skyview community road project. Knott County-Chestnut Ridge temporary road to high-ground site.</t>
  </si>
  <si>
    <t xml:space="preserve">Floodplain coordinator; local share of damage costs claimed with FEMA. </t>
  </si>
  <si>
    <t>Total Awards-House Bill 1-Section 9</t>
  </si>
  <si>
    <t>Session, which now permits it with specific conditions on timeframe and amount. Sought funding for software.</t>
  </si>
  <si>
    <t>Dawson Spring Indpendent Schools</t>
  </si>
  <si>
    <t>Revenue loss.</t>
  </si>
  <si>
    <t>Revenue</t>
  </si>
  <si>
    <t>Loss</t>
  </si>
  <si>
    <t>Local share of damage costs claimed with FEMA. Repair of roads damaged by post-disaster response.</t>
  </si>
  <si>
    <t>Local share of damage costs claimed with FEMA, strained fiscal liquidity. Repair of roads damaged by post-disaster response.</t>
  </si>
  <si>
    <t>Mayfield Independent Schools</t>
  </si>
  <si>
    <t>Beattyville, City of</t>
  </si>
  <si>
    <t>Strained fiscal liquidity, flood planning</t>
  </si>
  <si>
    <t>Breathitt County Water District</t>
  </si>
  <si>
    <t>Long-term recovery planner in concert with Breathitt County, FEMA-ineligible costs.</t>
  </si>
  <si>
    <t>Property appraisal for one property. Title search and geotech investigations for two other potential high-ground rebuilding sites. High-ground site program manager. High-ground property acquisition in Knott County</t>
  </si>
  <si>
    <t>After $10 million transfer to Rural Housing Trust Fund</t>
  </si>
  <si>
    <t>Hyden-Leslie County Water District</t>
  </si>
  <si>
    <t>Lee County Fiscal Court</t>
  </si>
  <si>
    <t>High-ground site water and wastewater infrastructure in Letcher County-Olive Branch, Perry County-Skyview Estates, and Letcher County-Chestnut Ridge sites.</t>
  </si>
  <si>
    <t>Hyden-Leslie County Water</t>
  </si>
  <si>
    <t>Local share of damage costs claimed with FEMA, floodplain planning</t>
  </si>
  <si>
    <t xml:space="preserve">  House Bill 1-Section 4 (22SS),HB 448-Section 13(23RS)</t>
  </si>
  <si>
    <t>Obligations Actual/Estimated To-date</t>
  </si>
  <si>
    <r>
      <rPr>
        <b/>
        <sz val="11"/>
        <color theme="1"/>
        <rFont val="Arial"/>
        <family val="2"/>
      </rPr>
      <t>East Kentucky SAFE Fund</t>
    </r>
    <r>
      <rPr>
        <sz val="11"/>
        <color theme="1"/>
        <rFont val="Arial"/>
        <family val="2"/>
      </rPr>
      <t>:</t>
    </r>
  </si>
  <si>
    <t>West Kentucky SAFE Fund:</t>
  </si>
  <si>
    <t>Reserved for High-Ground Sites electric power access</t>
  </si>
  <si>
    <t>Dept of Education-financial assistance for school districts</t>
  </si>
  <si>
    <t>Local share of damage costs claimed with FEMA, debris removal costs ineligible for FEMA claims, paving cost ineligible for FEMA claims, strained fiscal liquidity, reimbursement of response hotline costs.</t>
  </si>
  <si>
    <t>Local share of damage costs claimed with FEMA, direct personnel costs, tree replacement, removal of stumps and trees, utility aid, other direct city costs, small business incubator for tornado-impacted area.</t>
  </si>
  <si>
    <t>Excludes $25 million for Economic Development's Ky Risk Assistance Program, $30 million for Dept of Education, and $10 million for Rural Housing Trust Fund</t>
  </si>
  <si>
    <t>State road and bridge projects</t>
  </si>
  <si>
    <t xml:space="preserve">Booneville, City of - sought funding for a generator which was not damaged by the flooding, UV light treatment system for treatment plan. </t>
  </si>
  <si>
    <t xml:space="preserve">Breathitt County - sought funding for heavy equipment. </t>
  </si>
  <si>
    <t xml:space="preserve">Breathitt County Water District - sought funding for heavy equipment. </t>
  </si>
  <si>
    <t xml:space="preserve">Hazard, City of - sought funding for water treatment and sewage treatment projects, heavy equipment. </t>
  </si>
  <si>
    <t xml:space="preserve">Johnson County - sought funding for road repairs. </t>
  </si>
  <si>
    <t xml:space="preserve">Lee County - sought funding for heavy equipment. </t>
  </si>
  <si>
    <t xml:space="preserve">Leslie County - sought funding for road and bridge repairs. </t>
  </si>
  <si>
    <t xml:space="preserve">Letcher County - sought funding for loan interest, solid waste costs, heavy equipment, additional fundings for floodplain coordinator, FEMA-ineligible debris removal, debris contractor, strained fiscal liquidity, heavy equipment. </t>
  </si>
  <si>
    <t xml:space="preserve">Letcher County Water &amp; Sewer District - sought funding for meter replacements. </t>
  </si>
  <si>
    <t xml:space="preserve">Owsley County - sought funding for heavy equipment. </t>
  </si>
  <si>
    <t xml:space="preserve">Paintsville, City of - sought funding for road damage. </t>
  </si>
  <si>
    <t xml:space="preserve">Whitesburg, City of - sought funding for water meters. </t>
  </si>
  <si>
    <t>Transportation Cabinet-FEMA-ineligible county bridge repairs</t>
  </si>
  <si>
    <t xml:space="preserve">Perry County - sought funding for purchase of appliances, water and sewer projects, strained fiscal liquidity, ineligible debris removal. </t>
  </si>
  <si>
    <t>Strained fiscal liquidity, floodplain coordinator, local share of damage costs claimed with FEMA, matching funds for ARC water/sewer project, electric installation at high-ground site</t>
  </si>
  <si>
    <t xml:space="preserve">Bowling Green, City of - search and rescue </t>
  </si>
  <si>
    <t>Jenkins Independent School District</t>
  </si>
  <si>
    <t>Marshall County School District</t>
  </si>
  <si>
    <t>Water/Sewer/Road</t>
  </si>
  <si>
    <t xml:space="preserve">Nursing services, COVID tests, food inspections, formula. Comprehensive recovery program focused on </t>
  </si>
  <si>
    <t>House Bill 752 (24RS)-Electric and water systems; fire station #1, police station, city hall</t>
  </si>
  <si>
    <t>HB 752 (24RS)-Administrative building</t>
  </si>
  <si>
    <t>Actions through July 1, 2024</t>
  </si>
  <si>
    <t>Strained Fiscal Liquidity-City &amp; County Governments</t>
  </si>
  <si>
    <t>Senate Bill 91-Section 72 (24RS)</t>
  </si>
  <si>
    <t>Senate Bill 91-Section 72 Balance</t>
  </si>
  <si>
    <t xml:space="preserve">  House Bill 1 - Section 6, amended by SB 91, section 72 (24RS)</t>
  </si>
  <si>
    <t>Perry County Fiscal Court</t>
  </si>
  <si>
    <t>Beattyville</t>
  </si>
  <si>
    <t>Booneville</t>
  </si>
  <si>
    <t>Breathitt County</t>
  </si>
  <si>
    <t>Buckhorn</t>
  </si>
  <si>
    <t>Floyd County</t>
  </si>
  <si>
    <t>Hindman</t>
  </si>
  <si>
    <t>Jackson</t>
  </si>
  <si>
    <t>Knott County</t>
  </si>
  <si>
    <t>Letcher County</t>
  </si>
  <si>
    <t>Owsley County</t>
  </si>
  <si>
    <t>Perry County</t>
  </si>
  <si>
    <t>Total Awards-Senate Bill 91, Section 72</t>
  </si>
  <si>
    <t>Beattyville, City of - sought funding for a secondary access for Silver Creek residents, sewer plant replacement parts, meter and vehicle replacements.</t>
  </si>
  <si>
    <t>Knott County - sought funding for FEMA-ineligible debris removal; strained fiscal liquidity, equipment; EOC/911 replacement space, office renovation, laundry facility, culvert work, bridge repair, and other repairs.</t>
  </si>
  <si>
    <t>Knott County Water &amp; Sewer District - sought funding for waterline repairs, wastewater treatment plant, hazard mitigation grant match, and a directional bore.</t>
  </si>
  <si>
    <t>Pike County - sought funding for FEMA match and FEMA-ineligible costs</t>
  </si>
  <si>
    <t>Southern Water and Sewer</t>
  </si>
  <si>
    <t>Fleming-Neon</t>
  </si>
  <si>
    <t>Lee County</t>
  </si>
  <si>
    <t>Pembroke, City of-Rosedale Cemetery Repair Work</t>
  </si>
  <si>
    <t>Local share of damage costs claimed with FEMA, land surveying, reconstruction of City Pool and City Park</t>
  </si>
  <si>
    <t>Floyd County - sought funding for uphill slide sites, creek silt/debris removal, equipment, and repair of slides.</t>
  </si>
  <si>
    <t xml:space="preserve">Jackson, City of - funding for mitigation projects and water loss. </t>
  </si>
  <si>
    <t>Hazard</t>
  </si>
  <si>
    <t>Perry County Board of Education</t>
  </si>
  <si>
    <t>Perry County Boaord of Education - sought funding to supplement FEMA funding for three school projects</t>
  </si>
  <si>
    <t>House Bill 1-Section 7 (22SS)</t>
  </si>
  <si>
    <t>House Bill 1-Section 9 (22SS)</t>
  </si>
  <si>
    <t>Muhlenberg County - sought funding to match hazard mitigation grant and strained fiscal liquidity</t>
  </si>
  <si>
    <t>Caldwell County - repairs denied by FEMA</t>
  </si>
  <si>
    <t>Actions through January 31, 2024</t>
  </si>
  <si>
    <t>SAFE 4860 Fund</t>
  </si>
  <si>
    <t>House Bill 544 (25RS)</t>
  </si>
  <si>
    <t xml:space="preserve">Booneville, City of </t>
  </si>
  <si>
    <t>Fleming-Neon, City of</t>
  </si>
  <si>
    <t>Total Awards</t>
  </si>
  <si>
    <t>Local Government, Department of</t>
  </si>
  <si>
    <t>High Ground Site Intakes for non-CDBG-DR Eligible Applicants</t>
  </si>
  <si>
    <t>HB 6 (24RS)-Military Affairs</t>
  </si>
  <si>
    <t>Actions through May 31, 2025</t>
  </si>
  <si>
    <t>Reserved for FEMA local match</t>
  </si>
  <si>
    <t>Remaining Balance</t>
  </si>
  <si>
    <t>Leslie County Fiscal Court</t>
  </si>
  <si>
    <t>Jenkins</t>
  </si>
  <si>
    <t>Knott Co</t>
  </si>
  <si>
    <t>Clay Co</t>
  </si>
  <si>
    <t>Pike Co</t>
  </si>
  <si>
    <t>Reserved for FEMA local match-pending FEMA project approvals, which have been delayed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</si>
</sst>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5" fontId="1" fillId="0" borderId="0" xfId="0" applyNumberFormat="1" applyFont="1"/>
    <xf numFmtId="5" fontId="2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5" fontId="1" fillId="0" borderId="0" xfId="0" applyNumberFormat="1" applyFont="1" applyFill="1"/>
    <xf numFmtId="5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5" fontId="1" fillId="0" borderId="0" xfId="0" applyNumberFormat="1" applyFont="1" applyBorder="1"/>
    <xf numFmtId="49" fontId="1" fillId="0" borderId="0" xfId="0" applyNumberFormat="1" applyFont="1" applyBorder="1" applyAlignment="1">
      <alignment horizontal="left" wrapText="1"/>
    </xf>
    <xf numFmtId="5" fontId="2" fillId="0" borderId="0" xfId="0" applyNumberFormat="1" applyFont="1" applyBorder="1"/>
    <xf numFmtId="164" fontId="1" fillId="0" borderId="0" xfId="0" applyNumberFormat="1" applyFont="1" applyBorder="1" applyAlignment="1">
      <alignment horizontal="left" wrapText="1"/>
    </xf>
    <xf numFmtId="0" fontId="2" fillId="0" borderId="0" xfId="0" applyFont="1" applyBorder="1"/>
    <xf numFmtId="5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5" fontId="1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5" fontId="1" fillId="0" borderId="1" xfId="0" applyNumberFormat="1" applyFont="1" applyFill="1" applyBorder="1"/>
    <xf numFmtId="5" fontId="1" fillId="0" borderId="1" xfId="0" applyNumberFormat="1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5" fontId="2" fillId="0" borderId="1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5" fontId="2" fillId="0" borderId="0" xfId="0" applyNumberFormat="1" applyFont="1" applyFill="1" applyBorder="1"/>
    <xf numFmtId="0" fontId="2" fillId="0" borderId="0" xfId="0" applyFont="1" applyBorder="1" applyAlignment="1">
      <alignment vertical="center"/>
    </xf>
    <xf numFmtId="5" fontId="2" fillId="0" borderId="0" xfId="0" applyNumberFormat="1" applyFont="1" applyFill="1"/>
    <xf numFmtId="5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 wrapText="1"/>
    </xf>
    <xf numFmtId="165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5" fontId="2" fillId="0" borderId="2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left" wrapText="1"/>
    </xf>
    <xf numFmtId="5" fontId="2" fillId="0" borderId="2" xfId="0" applyNumberFormat="1" applyFont="1" applyFill="1" applyBorder="1" applyAlignment="1">
      <alignment vertical="center"/>
    </xf>
    <xf numFmtId="2" fontId="1" fillId="0" borderId="0" xfId="0" applyNumberFormat="1" applyFont="1" applyAlignment="1">
      <alignment vertical="center" wrapText="1"/>
    </xf>
    <xf numFmtId="5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65" fontId="1" fillId="0" borderId="0" xfId="0" applyNumberFormat="1" applyFont="1" applyFill="1" applyBorder="1"/>
    <xf numFmtId="3" fontId="1" fillId="0" borderId="0" xfId="0" applyNumberFormat="1" applyFont="1" applyFill="1"/>
    <xf numFmtId="3" fontId="1" fillId="0" borderId="0" xfId="0" applyNumberFormat="1" applyFont="1" applyFill="1" applyBorder="1"/>
    <xf numFmtId="7" fontId="1" fillId="0" borderId="0" xfId="0" applyNumberFormat="1" applyFont="1"/>
    <xf numFmtId="7" fontId="2" fillId="0" borderId="0" xfId="0" applyNumberFormat="1" applyFont="1" applyFill="1" applyAlignment="1">
      <alignment vertical="center"/>
    </xf>
    <xf numFmtId="7" fontId="2" fillId="0" borderId="0" xfId="0" applyNumberFormat="1" applyFont="1" applyAlignment="1">
      <alignment horizontal="center"/>
    </xf>
    <xf numFmtId="7" fontId="1" fillId="0" borderId="1" xfId="0" applyNumberFormat="1" applyFont="1" applyBorder="1"/>
    <xf numFmtId="7" fontId="2" fillId="0" borderId="0" xfId="0" applyNumberFormat="1" applyFont="1"/>
    <xf numFmtId="7" fontId="1" fillId="0" borderId="0" xfId="0" applyNumberFormat="1" applyFont="1" applyFill="1" applyBorder="1"/>
    <xf numFmtId="7" fontId="1" fillId="0" borderId="0" xfId="0" applyNumberFormat="1" applyFont="1" applyBorder="1"/>
    <xf numFmtId="7" fontId="2" fillId="0" borderId="0" xfId="0" applyNumberFormat="1" applyFont="1" applyBorder="1"/>
    <xf numFmtId="5" fontId="2" fillId="0" borderId="0" xfId="0" applyNumberFormat="1" applyFont="1"/>
    <xf numFmtId="0" fontId="1" fillId="0" borderId="0" xfId="0" applyFont="1" applyFill="1" applyBorder="1" applyAlignment="1">
      <alignment vertical="center" wrapText="1"/>
    </xf>
    <xf numFmtId="5" fontId="2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5" fontId="2" fillId="0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90EB-7839-4010-96F7-ADBF312FCF90}">
  <dimension ref="A1:L57"/>
  <sheetViews>
    <sheetView zoomScale="90" zoomScaleNormal="90" workbookViewId="0">
      <pane xSplit="1" ySplit="6" topLeftCell="B30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6640625" defaultRowHeight="13.8" x14ac:dyDescent="0.25"/>
  <cols>
    <col min="1" max="1" width="40.6640625" style="1" customWidth="1"/>
    <col min="2" max="2" width="17.44140625" style="62" bestFit="1" customWidth="1"/>
    <col min="3" max="3" width="57" style="7" customWidth="1"/>
    <col min="4" max="6" width="14.44140625" style="4" bestFit="1" customWidth="1"/>
    <col min="7" max="7" width="19.109375" style="4" customWidth="1"/>
    <col min="8" max="11" width="14.44140625" style="4" bestFit="1" customWidth="1"/>
    <col min="12" max="12" width="13.33203125" style="1" hidden="1" customWidth="1"/>
    <col min="13" max="16384" width="8.6640625" style="1"/>
  </cols>
  <sheetData>
    <row r="1" spans="1:12" ht="17.399999999999999" x14ac:dyDescent="0.3">
      <c r="A1" s="6" t="s">
        <v>34</v>
      </c>
    </row>
    <row r="2" spans="1:12" x14ac:dyDescent="0.25">
      <c r="A2" s="41" t="s">
        <v>240</v>
      </c>
    </row>
    <row r="3" spans="1:12" ht="41.4" x14ac:dyDescent="0.25">
      <c r="A3" s="33" t="s">
        <v>60</v>
      </c>
      <c r="B3" s="63">
        <f>15000000+120890000+9000000+110000-10000000</f>
        <v>135000000</v>
      </c>
      <c r="C3" s="7" t="s">
        <v>171</v>
      </c>
      <c r="D3" s="11"/>
      <c r="E3" s="11"/>
      <c r="F3" s="11"/>
      <c r="G3" s="11"/>
      <c r="H3" s="11"/>
      <c r="I3" s="11"/>
      <c r="J3" s="11"/>
      <c r="K3" s="11"/>
    </row>
    <row r="4" spans="1:12" x14ac:dyDescent="0.25">
      <c r="A4" s="19"/>
      <c r="D4" s="5" t="s">
        <v>89</v>
      </c>
      <c r="E4" s="5" t="s">
        <v>80</v>
      </c>
      <c r="F4" s="5" t="s">
        <v>109</v>
      </c>
      <c r="G4" s="5" t="s">
        <v>109</v>
      </c>
      <c r="K4" s="5"/>
    </row>
    <row r="5" spans="1:12" x14ac:dyDescent="0.25">
      <c r="A5" s="3"/>
      <c r="B5" s="64" t="s">
        <v>1</v>
      </c>
      <c r="C5" s="36" t="s">
        <v>2</v>
      </c>
      <c r="D5" s="5" t="s">
        <v>90</v>
      </c>
      <c r="E5" s="5" t="s">
        <v>81</v>
      </c>
      <c r="F5" s="5" t="s">
        <v>105</v>
      </c>
      <c r="G5" s="5" t="s">
        <v>105</v>
      </c>
      <c r="H5" s="5" t="s">
        <v>107</v>
      </c>
      <c r="I5" s="5" t="s">
        <v>110</v>
      </c>
      <c r="J5" s="5" t="s">
        <v>147</v>
      </c>
      <c r="K5" s="5"/>
    </row>
    <row r="6" spans="1:12" x14ac:dyDescent="0.25">
      <c r="A6" s="3" t="s">
        <v>0</v>
      </c>
      <c r="B6" s="64" t="s">
        <v>53</v>
      </c>
      <c r="C6" s="36" t="s">
        <v>3</v>
      </c>
      <c r="D6" s="5" t="s">
        <v>91</v>
      </c>
      <c r="E6" s="5" t="s">
        <v>82</v>
      </c>
      <c r="F6" s="5" t="s">
        <v>106</v>
      </c>
      <c r="G6" s="5" t="s">
        <v>191</v>
      </c>
      <c r="H6" s="5" t="s">
        <v>108</v>
      </c>
      <c r="I6" s="5" t="s">
        <v>86</v>
      </c>
      <c r="J6" s="5" t="s">
        <v>148</v>
      </c>
      <c r="K6" s="5" t="s">
        <v>87</v>
      </c>
      <c r="L6" s="5" t="s">
        <v>88</v>
      </c>
    </row>
    <row r="7" spans="1:12" ht="16.8" x14ac:dyDescent="0.25">
      <c r="A7" s="31" t="s">
        <v>113</v>
      </c>
    </row>
    <row r="8" spans="1:12" x14ac:dyDescent="0.25">
      <c r="A8" s="1" t="s">
        <v>111</v>
      </c>
      <c r="B8" s="62">
        <v>9000000</v>
      </c>
      <c r="C8" s="8" t="s">
        <v>32</v>
      </c>
      <c r="K8" s="4">
        <v>9000000</v>
      </c>
      <c r="L8" s="4">
        <f t="shared" ref="L8:L46" si="0">B8-D8-E8-F8-G8-H8-I8-J8-K8</f>
        <v>0</v>
      </c>
    </row>
    <row r="9" spans="1:12" x14ac:dyDescent="0.25">
      <c r="A9" s="1" t="s">
        <v>28</v>
      </c>
      <c r="B9" s="65">
        <v>110000</v>
      </c>
      <c r="C9" s="8" t="s">
        <v>114</v>
      </c>
      <c r="K9" s="4">
        <v>110000</v>
      </c>
      <c r="L9" s="4">
        <f t="shared" si="0"/>
        <v>0</v>
      </c>
    </row>
    <row r="10" spans="1:12" x14ac:dyDescent="0.25">
      <c r="A10" s="2" t="s">
        <v>112</v>
      </c>
      <c r="B10" s="66">
        <f>B8+B9</f>
        <v>9110000</v>
      </c>
      <c r="L10" s="4">
        <f t="shared" si="0"/>
        <v>9110000</v>
      </c>
    </row>
    <row r="11" spans="1:12" x14ac:dyDescent="0.25">
      <c r="A11" s="2"/>
      <c r="B11" s="66"/>
      <c r="L11" s="4"/>
    </row>
    <row r="12" spans="1:12" ht="16.8" x14ac:dyDescent="0.25">
      <c r="A12" s="31" t="s">
        <v>96</v>
      </c>
      <c r="B12" s="34">
        <f>(146000000-25000000-10000000)+15000000-110000+3111537.53</f>
        <v>129001537.53</v>
      </c>
      <c r="C12" s="7" t="s">
        <v>157</v>
      </c>
      <c r="L12" s="4"/>
    </row>
    <row r="13" spans="1:12" x14ac:dyDescent="0.25">
      <c r="A13" s="22" t="s">
        <v>136</v>
      </c>
      <c r="B13" s="34"/>
      <c r="L13" s="4"/>
    </row>
    <row r="14" spans="1:12" ht="27.6" x14ac:dyDescent="0.25">
      <c r="A14" s="9" t="s">
        <v>41</v>
      </c>
      <c r="B14" s="12">
        <f>10571394+11826.76</f>
        <v>10583220.76</v>
      </c>
      <c r="C14" s="8" t="s">
        <v>33</v>
      </c>
      <c r="D14" s="12"/>
      <c r="E14" s="12"/>
      <c r="F14" s="12"/>
      <c r="G14" s="12"/>
      <c r="H14" s="12">
        <f>10571394+11826.76</f>
        <v>10583220.76</v>
      </c>
      <c r="I14" s="12"/>
      <c r="J14" s="12"/>
      <c r="K14" s="12"/>
      <c r="L14" s="4">
        <f>B14-D14-E14-F14-G14-H14-I14-J14-K14</f>
        <v>0</v>
      </c>
    </row>
    <row r="15" spans="1:12" x14ac:dyDescent="0.25">
      <c r="A15" s="9" t="s">
        <v>49</v>
      </c>
      <c r="B15" s="11">
        <f>59325+56032</f>
        <v>115357</v>
      </c>
      <c r="C15" s="10" t="s">
        <v>19</v>
      </c>
      <c r="D15" s="11"/>
      <c r="E15" s="11">
        <v>59325</v>
      </c>
      <c r="F15" s="11"/>
      <c r="G15" s="11">
        <v>56032</v>
      </c>
      <c r="H15" s="11"/>
      <c r="I15" s="11"/>
      <c r="J15" s="11"/>
      <c r="K15" s="11"/>
      <c r="L15" s="4">
        <f t="shared" si="0"/>
        <v>0</v>
      </c>
    </row>
    <row r="16" spans="1:12" ht="55.2" x14ac:dyDescent="0.25">
      <c r="A16" s="9" t="s">
        <v>50</v>
      </c>
      <c r="B16" s="12">
        <f>85508+970183+550000+1500000</f>
        <v>3105691</v>
      </c>
      <c r="C16" s="10" t="s">
        <v>170</v>
      </c>
      <c r="D16" s="12"/>
      <c r="E16" s="12">
        <f>85508</f>
        <v>85508</v>
      </c>
      <c r="F16" s="12"/>
      <c r="G16" s="12"/>
      <c r="H16" s="12"/>
      <c r="I16" s="12"/>
      <c r="J16" s="12"/>
      <c r="K16" s="12">
        <f>50000+150000+550000+4272+270+15641+200000+400000+150000+1500000</f>
        <v>3020183</v>
      </c>
      <c r="L16" s="4">
        <f t="shared" si="0"/>
        <v>0</v>
      </c>
    </row>
    <row r="17" spans="1:12" x14ac:dyDescent="0.25">
      <c r="A17" s="9" t="s">
        <v>9</v>
      </c>
      <c r="B17" s="11">
        <v>7018</v>
      </c>
      <c r="C17" s="10" t="s">
        <v>19</v>
      </c>
      <c r="D17" s="11"/>
      <c r="E17" s="11">
        <v>7018</v>
      </c>
      <c r="F17" s="11"/>
      <c r="G17" s="11"/>
      <c r="H17" s="11"/>
      <c r="I17" s="11"/>
      <c r="J17" s="11"/>
      <c r="K17" s="11"/>
      <c r="L17" s="4">
        <f t="shared" si="0"/>
        <v>0</v>
      </c>
    </row>
    <row r="18" spans="1:12" x14ac:dyDescent="0.25">
      <c r="A18" s="9" t="s">
        <v>129</v>
      </c>
      <c r="B18" s="11">
        <v>26606</v>
      </c>
      <c r="C18" s="10" t="s">
        <v>19</v>
      </c>
      <c r="D18" s="11"/>
      <c r="E18" s="11">
        <v>26606</v>
      </c>
      <c r="F18" s="11"/>
      <c r="G18" s="11"/>
      <c r="H18" s="11"/>
      <c r="I18" s="11"/>
      <c r="J18" s="11"/>
      <c r="K18" s="11"/>
      <c r="L18" s="4"/>
    </row>
    <row r="19" spans="1:12" ht="41.4" x14ac:dyDescent="0.25">
      <c r="A19" s="9" t="s">
        <v>5</v>
      </c>
      <c r="B19" s="12">
        <f>372100+500000</f>
        <v>872100</v>
      </c>
      <c r="C19" s="10" t="s">
        <v>20</v>
      </c>
      <c r="D19" s="12">
        <f>500000</f>
        <v>500000</v>
      </c>
      <c r="E19" s="12">
        <f>72100</f>
        <v>72100</v>
      </c>
      <c r="F19" s="12">
        <f>200000+100000</f>
        <v>300000</v>
      </c>
      <c r="G19" s="12"/>
      <c r="H19" s="12"/>
      <c r="I19" s="12"/>
      <c r="J19" s="12"/>
      <c r="K19" s="12"/>
      <c r="L19" s="4">
        <f t="shared" si="0"/>
        <v>0</v>
      </c>
    </row>
    <row r="20" spans="1:12" x14ac:dyDescent="0.25">
      <c r="A20" s="1" t="s">
        <v>12</v>
      </c>
      <c r="B20" s="11">
        <v>6121</v>
      </c>
      <c r="C20" s="10" t="s">
        <v>19</v>
      </c>
      <c r="D20" s="11"/>
      <c r="E20" s="11">
        <v>6121</v>
      </c>
      <c r="F20" s="11"/>
      <c r="G20" s="11"/>
      <c r="H20" s="11"/>
      <c r="I20" s="11"/>
      <c r="J20" s="11"/>
      <c r="K20" s="11"/>
      <c r="L20" s="4">
        <f t="shared" si="0"/>
        <v>0</v>
      </c>
    </row>
    <row r="21" spans="1:12" ht="27.6" x14ac:dyDescent="0.25">
      <c r="A21" s="9" t="s">
        <v>51</v>
      </c>
      <c r="B21" s="12">
        <f>1321047+15133+886000+800000+2395300+909829+1593003</f>
        <v>7920312</v>
      </c>
      <c r="C21" s="10" t="s">
        <v>221</v>
      </c>
      <c r="D21" s="12">
        <f>886000+800000</f>
        <v>1686000</v>
      </c>
      <c r="E21" s="12">
        <f>121047+15133</f>
        <v>136180</v>
      </c>
      <c r="F21" s="12"/>
      <c r="G21" s="12">
        <f>2395300</f>
        <v>2395300</v>
      </c>
      <c r="H21" s="12"/>
      <c r="I21" s="12">
        <v>1200000</v>
      </c>
      <c r="J21" s="12"/>
      <c r="K21" s="12">
        <f>909829+1593003</f>
        <v>2502832</v>
      </c>
      <c r="L21" s="4">
        <f t="shared" si="0"/>
        <v>0</v>
      </c>
    </row>
    <row r="22" spans="1:12" x14ac:dyDescent="0.25">
      <c r="A22" s="9" t="s">
        <v>145</v>
      </c>
      <c r="B22" s="12">
        <v>80500</v>
      </c>
      <c r="C22" s="10" t="s">
        <v>146</v>
      </c>
      <c r="D22" s="12"/>
      <c r="E22" s="12"/>
      <c r="F22" s="12"/>
      <c r="G22" s="12"/>
      <c r="H22" s="12"/>
      <c r="I22" s="12"/>
      <c r="J22" s="12">
        <v>80500</v>
      </c>
      <c r="K22" s="12"/>
      <c r="L22" s="4"/>
    </row>
    <row r="23" spans="1:12" ht="55.2" x14ac:dyDescent="0.25">
      <c r="A23" s="9" t="s">
        <v>10</v>
      </c>
      <c r="B23" s="12">
        <f>336873+19882+567128</f>
        <v>923883</v>
      </c>
      <c r="C23" s="10" t="s">
        <v>169</v>
      </c>
      <c r="D23" s="12">
        <f>57311</f>
        <v>57311</v>
      </c>
      <c r="E23" s="12">
        <f>79562</f>
        <v>79562</v>
      </c>
      <c r="F23" s="12">
        <v>125000</v>
      </c>
      <c r="G23" s="12"/>
      <c r="H23" s="12"/>
      <c r="I23" s="12"/>
      <c r="J23" s="12"/>
      <c r="K23" s="12">
        <f>75000+19882+567128</f>
        <v>662010</v>
      </c>
      <c r="L23" s="4">
        <f t="shared" si="0"/>
        <v>0</v>
      </c>
    </row>
    <row r="24" spans="1:12" ht="27.6" x14ac:dyDescent="0.25">
      <c r="A24" s="9" t="s">
        <v>7</v>
      </c>
      <c r="B24" s="12">
        <f>3384285+2501700+158292+235760</f>
        <v>6280037</v>
      </c>
      <c r="C24" s="10" t="s">
        <v>149</v>
      </c>
      <c r="D24" s="11"/>
      <c r="E24" s="11">
        <v>3384285</v>
      </c>
      <c r="F24" s="11"/>
      <c r="G24" s="11"/>
      <c r="H24" s="11"/>
      <c r="I24" s="11"/>
      <c r="J24" s="11"/>
      <c r="K24" s="11">
        <f>2501700+158292+235760</f>
        <v>2895752</v>
      </c>
      <c r="L24" s="4">
        <f t="shared" si="0"/>
        <v>0</v>
      </c>
    </row>
    <row r="25" spans="1:12" x14ac:dyDescent="0.25">
      <c r="A25" s="13" t="s">
        <v>7</v>
      </c>
      <c r="B25" s="12">
        <v>6100000</v>
      </c>
      <c r="C25" s="49" t="s">
        <v>194</v>
      </c>
      <c r="D25" s="11"/>
      <c r="E25" s="11"/>
      <c r="F25" s="11"/>
      <c r="G25" s="11"/>
      <c r="H25" s="11"/>
      <c r="I25" s="11"/>
      <c r="J25" s="11"/>
      <c r="K25" s="12">
        <v>6100000</v>
      </c>
      <c r="L25" s="4"/>
    </row>
    <row r="26" spans="1:12" x14ac:dyDescent="0.25">
      <c r="A26" s="9" t="s">
        <v>8</v>
      </c>
      <c r="B26" s="11">
        <f>17281+38979</f>
        <v>56260</v>
      </c>
      <c r="C26" s="10" t="s">
        <v>19</v>
      </c>
      <c r="D26" s="11"/>
      <c r="E26" s="11">
        <v>17281</v>
      </c>
      <c r="F26" s="11"/>
      <c r="G26" s="11">
        <v>38979</v>
      </c>
      <c r="H26" s="11"/>
      <c r="I26" s="11"/>
      <c r="J26" s="11"/>
      <c r="K26" s="11"/>
      <c r="L26" s="4">
        <f t="shared" si="0"/>
        <v>0</v>
      </c>
    </row>
    <row r="27" spans="1:12" ht="41.4" x14ac:dyDescent="0.25">
      <c r="A27" s="9" t="s">
        <v>4</v>
      </c>
      <c r="B27" s="12">
        <f>9251941+175950</f>
        <v>9427891</v>
      </c>
      <c r="C27" s="10" t="s">
        <v>23</v>
      </c>
      <c r="D27" s="12">
        <f>4500000</f>
        <v>4500000</v>
      </c>
      <c r="E27" s="12">
        <f>807593</f>
        <v>807593</v>
      </c>
      <c r="F27" s="12">
        <f>3230000</f>
        <v>3230000</v>
      </c>
      <c r="G27" s="12"/>
      <c r="H27" s="12"/>
      <c r="I27" s="12"/>
      <c r="J27" s="12"/>
      <c r="K27" s="12">
        <f>58500+655848+175950</f>
        <v>890298</v>
      </c>
      <c r="L27" s="4">
        <f t="shared" si="0"/>
        <v>0</v>
      </c>
    </row>
    <row r="28" spans="1:12" ht="27.6" x14ac:dyDescent="0.25">
      <c r="A28" s="1" t="s">
        <v>13</v>
      </c>
      <c r="B28" s="11">
        <f>12212+6786000</f>
        <v>6798212</v>
      </c>
      <c r="C28" s="7" t="s">
        <v>192</v>
      </c>
      <c r="D28" s="11"/>
      <c r="E28" s="11"/>
      <c r="F28" s="11"/>
      <c r="G28" s="11"/>
      <c r="H28" s="11"/>
      <c r="I28" s="11"/>
      <c r="J28" s="11"/>
      <c r="K28" s="11">
        <f>12212+6786000</f>
        <v>6798212</v>
      </c>
      <c r="L28" s="4">
        <f t="shared" si="0"/>
        <v>0</v>
      </c>
    </row>
    <row r="29" spans="1:12" ht="41.4" x14ac:dyDescent="0.25">
      <c r="A29" s="9" t="s">
        <v>11</v>
      </c>
      <c r="B29" s="12">
        <f>158517.8+341654</f>
        <v>500171.8</v>
      </c>
      <c r="C29" s="10" t="s">
        <v>150</v>
      </c>
      <c r="D29" s="11">
        <v>36000</v>
      </c>
      <c r="E29" s="11">
        <v>122518</v>
      </c>
      <c r="F29" s="11"/>
      <c r="G29" s="11"/>
      <c r="H29" s="11"/>
      <c r="I29" s="11"/>
      <c r="J29" s="11"/>
      <c r="K29" s="11">
        <v>341654</v>
      </c>
      <c r="L29" s="4">
        <f t="shared" si="0"/>
        <v>-0.20000000001164153</v>
      </c>
    </row>
    <row r="30" spans="1:12" ht="41.4" x14ac:dyDescent="0.25">
      <c r="A30" s="9" t="s">
        <v>6</v>
      </c>
      <c r="B30" s="12">
        <f>655389+50000+155389+50000+85037+375322+(69945+27550)</f>
        <v>1468632</v>
      </c>
      <c r="C30" s="10" t="s">
        <v>76</v>
      </c>
      <c r="D30" s="12">
        <f>50000+50000</f>
        <v>100000</v>
      </c>
      <c r="E30" s="12">
        <f>155389+155389+85037</f>
        <v>395815</v>
      </c>
      <c r="F30" s="12">
        <f>300000+200000</f>
        <v>500000</v>
      </c>
      <c r="G30" s="12"/>
      <c r="H30" s="12"/>
      <c r="I30" s="12">
        <v>27550</v>
      </c>
      <c r="J30" s="12"/>
      <c r="K30" s="12">
        <f>375322+69945</f>
        <v>445267</v>
      </c>
      <c r="L30" s="4">
        <f t="shared" si="0"/>
        <v>0</v>
      </c>
    </row>
    <row r="31" spans="1:12" x14ac:dyDescent="0.25">
      <c r="A31" s="13" t="s">
        <v>29</v>
      </c>
      <c r="B31" s="12">
        <v>35000</v>
      </c>
      <c r="C31" s="10" t="s">
        <v>30</v>
      </c>
      <c r="D31" s="12"/>
      <c r="E31" s="12"/>
      <c r="F31" s="12"/>
      <c r="G31" s="12"/>
      <c r="H31" s="12"/>
      <c r="I31" s="12"/>
      <c r="J31" s="12"/>
      <c r="K31" s="12">
        <v>35000</v>
      </c>
      <c r="L31" s="4">
        <f t="shared" si="0"/>
        <v>0</v>
      </c>
    </row>
    <row r="32" spans="1:12" x14ac:dyDescent="0.25">
      <c r="A32" s="13" t="s">
        <v>190</v>
      </c>
      <c r="B32" s="12">
        <v>121157</v>
      </c>
      <c r="C32" s="10"/>
      <c r="D32" s="12"/>
      <c r="E32" s="12"/>
      <c r="F32" s="12"/>
      <c r="G32" s="12"/>
      <c r="H32" s="12"/>
      <c r="I32" s="12"/>
      <c r="J32" s="12">
        <v>121157</v>
      </c>
      <c r="K32" s="12"/>
      <c r="L32" s="4"/>
    </row>
    <row r="33" spans="1:12" ht="27.6" x14ac:dyDescent="0.25">
      <c r="A33" s="9" t="s">
        <v>48</v>
      </c>
      <c r="B33" s="12">
        <f>2880361+1200000+228119</f>
        <v>4308480</v>
      </c>
      <c r="C33" s="10" t="s">
        <v>22</v>
      </c>
      <c r="D33" s="12"/>
      <c r="E33" s="12">
        <f>2880361</f>
        <v>2880361</v>
      </c>
      <c r="F33" s="12">
        <f>1200000</f>
        <v>1200000</v>
      </c>
      <c r="G33" s="12"/>
      <c r="H33" s="12"/>
      <c r="I33" s="12"/>
      <c r="J33" s="12">
        <v>228119</v>
      </c>
      <c r="K33" s="12"/>
      <c r="L33" s="4">
        <f t="shared" si="0"/>
        <v>0</v>
      </c>
    </row>
    <row r="34" spans="1:12" ht="27.6" x14ac:dyDescent="0.25">
      <c r="A34" s="13" t="s">
        <v>48</v>
      </c>
      <c r="B34" s="12">
        <v>48231000</v>
      </c>
      <c r="C34" s="49" t="s">
        <v>193</v>
      </c>
      <c r="D34" s="12"/>
      <c r="E34" s="12"/>
      <c r="F34" s="12"/>
      <c r="G34" s="12"/>
      <c r="H34" s="12"/>
      <c r="I34" s="12"/>
      <c r="J34" s="12"/>
      <c r="K34" s="12">
        <v>48231000</v>
      </c>
      <c r="L34" s="4"/>
    </row>
    <row r="35" spans="1:12" ht="27.6" x14ac:dyDescent="0.25">
      <c r="A35" s="10" t="s">
        <v>14</v>
      </c>
      <c r="B35" s="12">
        <f>17091180+314018+49987</f>
        <v>17455185</v>
      </c>
      <c r="C35" s="49" t="s">
        <v>21</v>
      </c>
      <c r="D35" s="12">
        <f>15000000+314018</f>
        <v>15314018</v>
      </c>
      <c r="E35" s="12">
        <v>2091180</v>
      </c>
      <c r="F35" s="12">
        <v>49987</v>
      </c>
      <c r="G35" s="12"/>
      <c r="H35" s="12"/>
      <c r="I35" s="12"/>
      <c r="J35" s="12"/>
      <c r="K35" s="12"/>
      <c r="L35" s="4">
        <f t="shared" si="0"/>
        <v>0</v>
      </c>
    </row>
    <row r="36" spans="1:12" x14ac:dyDescent="0.25">
      <c r="A36" s="1" t="s">
        <v>151</v>
      </c>
      <c r="B36" s="12">
        <f>373683+57205</f>
        <v>430888</v>
      </c>
      <c r="C36" s="49" t="s">
        <v>146</v>
      </c>
      <c r="D36" s="12"/>
      <c r="E36" s="12"/>
      <c r="F36" s="12"/>
      <c r="G36" s="12"/>
      <c r="H36" s="12"/>
      <c r="I36" s="12"/>
      <c r="J36" s="12">
        <f>373683+57205</f>
        <v>430888</v>
      </c>
      <c r="K36" s="12"/>
      <c r="L36" s="4"/>
    </row>
    <row r="37" spans="1:12" ht="41.4" x14ac:dyDescent="0.25">
      <c r="A37" s="10" t="s">
        <v>15</v>
      </c>
      <c r="B37" s="12">
        <f>1171147+1090293</f>
        <v>2261440</v>
      </c>
      <c r="C37" s="49" t="s">
        <v>46</v>
      </c>
      <c r="D37" s="12">
        <f>61208+1090293</f>
        <v>1151501</v>
      </c>
      <c r="E37" s="12">
        <f>145192</f>
        <v>145192</v>
      </c>
      <c r="F37" s="12">
        <f>114747+450000</f>
        <v>564747</v>
      </c>
      <c r="G37" s="12"/>
      <c r="H37" s="12"/>
      <c r="I37" s="12"/>
      <c r="J37" s="12"/>
      <c r="K37" s="12">
        <f>300000+100000</f>
        <v>400000</v>
      </c>
      <c r="L37" s="4">
        <f t="shared" si="0"/>
        <v>0</v>
      </c>
    </row>
    <row r="38" spans="1:12" ht="27.6" x14ac:dyDescent="0.25">
      <c r="A38" s="9" t="s">
        <v>26</v>
      </c>
      <c r="B38" s="12">
        <v>400000</v>
      </c>
      <c r="C38" s="10" t="s">
        <v>31</v>
      </c>
      <c r="D38" s="12"/>
      <c r="E38" s="12"/>
      <c r="F38" s="12"/>
      <c r="G38" s="12">
        <v>400000</v>
      </c>
      <c r="H38" s="12"/>
      <c r="I38" s="12"/>
      <c r="J38" s="12"/>
      <c r="K38" s="12"/>
      <c r="L38" s="4">
        <f t="shared" si="0"/>
        <v>0</v>
      </c>
    </row>
    <row r="39" spans="1:12" ht="15" customHeight="1" x14ac:dyDescent="0.25">
      <c r="A39" s="1" t="s">
        <v>16</v>
      </c>
      <c r="B39" s="11">
        <v>4004</v>
      </c>
      <c r="C39" s="10" t="s">
        <v>19</v>
      </c>
      <c r="D39" s="11"/>
      <c r="E39" s="11">
        <v>4004</v>
      </c>
      <c r="F39" s="11"/>
      <c r="G39" s="11"/>
      <c r="H39" s="11"/>
      <c r="I39" s="11"/>
      <c r="J39" s="11"/>
      <c r="K39" s="11"/>
      <c r="L39" s="4">
        <f t="shared" si="0"/>
        <v>0</v>
      </c>
    </row>
    <row r="40" spans="1:12" ht="15" customHeight="1" x14ac:dyDescent="0.25">
      <c r="A40" s="1" t="s">
        <v>220</v>
      </c>
      <c r="B40" s="11">
        <v>20600</v>
      </c>
      <c r="C40" s="49" t="s">
        <v>239</v>
      </c>
      <c r="D40" s="11"/>
      <c r="E40" s="11"/>
      <c r="F40" s="11"/>
      <c r="G40" s="11"/>
      <c r="H40" s="11"/>
      <c r="I40" s="11"/>
      <c r="J40" s="11"/>
      <c r="K40" s="12">
        <v>20600</v>
      </c>
      <c r="L40" s="4"/>
    </row>
    <row r="41" spans="1:12" ht="15" customHeight="1" x14ac:dyDescent="0.25">
      <c r="A41" s="1" t="s">
        <v>47</v>
      </c>
      <c r="B41" s="11">
        <f>134680+571440</f>
        <v>706120</v>
      </c>
      <c r="C41" s="10" t="s">
        <v>19</v>
      </c>
      <c r="D41" s="11"/>
      <c r="E41" s="11">
        <f>134680-89969</f>
        <v>44711</v>
      </c>
      <c r="F41" s="11">
        <f>89969+571440</f>
        <v>661409</v>
      </c>
      <c r="G41" s="11"/>
      <c r="H41" s="11"/>
      <c r="I41" s="11"/>
      <c r="J41" s="11"/>
      <c r="K41" s="11"/>
      <c r="L41" s="4">
        <f t="shared" si="0"/>
        <v>0</v>
      </c>
    </row>
    <row r="42" spans="1:12" ht="27.6" x14ac:dyDescent="0.25">
      <c r="A42" s="9" t="s">
        <v>27</v>
      </c>
      <c r="B42" s="12">
        <f>110000+42154</f>
        <v>152154</v>
      </c>
      <c r="C42" s="10" t="s">
        <v>21</v>
      </c>
      <c r="D42" s="12">
        <v>35000</v>
      </c>
      <c r="E42" s="12">
        <f>75000+42154</f>
        <v>117154</v>
      </c>
      <c r="F42" s="12"/>
      <c r="G42" s="12"/>
      <c r="H42" s="12"/>
      <c r="I42" s="12"/>
      <c r="J42" s="12"/>
      <c r="K42" s="12"/>
      <c r="L42" s="4">
        <f t="shared" si="0"/>
        <v>0</v>
      </c>
    </row>
    <row r="43" spans="1:12" ht="41.4" x14ac:dyDescent="0.25">
      <c r="A43" s="9" t="s">
        <v>40</v>
      </c>
      <c r="B43" s="12">
        <f>24440+65000</f>
        <v>89440</v>
      </c>
      <c r="C43" s="10" t="s">
        <v>58</v>
      </c>
      <c r="D43" s="12"/>
      <c r="E43" s="12">
        <f>24440</f>
        <v>24440</v>
      </c>
      <c r="F43" s="12"/>
      <c r="G43" s="12">
        <v>65000</v>
      </c>
      <c r="H43" s="12"/>
      <c r="I43" s="12"/>
      <c r="J43" s="12"/>
      <c r="K43" s="12"/>
      <c r="L43" s="4">
        <f t="shared" si="0"/>
        <v>0</v>
      </c>
    </row>
    <row r="44" spans="1:12" ht="27.6" x14ac:dyDescent="0.25">
      <c r="A44" s="9" t="s">
        <v>24</v>
      </c>
      <c r="B44" s="12">
        <v>89766</v>
      </c>
      <c r="C44" s="10" t="s">
        <v>25</v>
      </c>
      <c r="D44" s="12"/>
      <c r="E44" s="12"/>
      <c r="F44" s="12"/>
      <c r="G44" s="12"/>
      <c r="H44" s="12"/>
      <c r="I44" s="12"/>
      <c r="J44" s="12"/>
      <c r="K44" s="12">
        <v>89766</v>
      </c>
      <c r="L44" s="4">
        <f t="shared" si="0"/>
        <v>0</v>
      </c>
    </row>
    <row r="45" spans="1:12" ht="27.6" x14ac:dyDescent="0.25">
      <c r="A45" s="9" t="s">
        <v>17</v>
      </c>
      <c r="B45" s="12">
        <f>5200+134437+10230+60121</f>
        <v>209988</v>
      </c>
      <c r="C45" s="10" t="s">
        <v>22</v>
      </c>
      <c r="D45" s="12"/>
      <c r="E45" s="12">
        <f>5200</f>
        <v>5200</v>
      </c>
      <c r="F45" s="12">
        <f>134437+10230+60121</f>
        <v>204788</v>
      </c>
      <c r="G45" s="12"/>
      <c r="H45" s="12"/>
      <c r="I45" s="12"/>
      <c r="J45" s="12"/>
      <c r="K45" s="12"/>
      <c r="L45" s="4">
        <f t="shared" si="0"/>
        <v>0</v>
      </c>
    </row>
    <row r="46" spans="1:12" x14ac:dyDescent="0.25">
      <c r="A46" s="1" t="s">
        <v>18</v>
      </c>
      <c r="B46" s="25">
        <f>338910-124607</f>
        <v>214303</v>
      </c>
      <c r="C46" s="10" t="s">
        <v>19</v>
      </c>
      <c r="D46" s="25"/>
      <c r="E46" s="25">
        <f>338910-124607</f>
        <v>214303</v>
      </c>
      <c r="F46" s="25"/>
      <c r="G46" s="25"/>
      <c r="H46" s="25"/>
      <c r="I46" s="25"/>
      <c r="J46" s="25"/>
      <c r="K46" s="25"/>
      <c r="L46" s="4">
        <f t="shared" si="0"/>
        <v>0</v>
      </c>
    </row>
    <row r="47" spans="1:12" x14ac:dyDescent="0.25">
      <c r="A47" s="2" t="s">
        <v>96</v>
      </c>
      <c r="B47" s="28">
        <f>SUM(B14:B46)</f>
        <v>129001537.56</v>
      </c>
      <c r="D47" s="28">
        <f t="shared" ref="D47:K47" si="1">SUM(D14:D46)</f>
        <v>23379830</v>
      </c>
      <c r="E47" s="28">
        <f t="shared" si="1"/>
        <v>10726457</v>
      </c>
      <c r="F47" s="28">
        <f t="shared" si="1"/>
        <v>6835931</v>
      </c>
      <c r="G47" s="28">
        <f t="shared" si="1"/>
        <v>2955311</v>
      </c>
      <c r="H47" s="28">
        <f t="shared" si="1"/>
        <v>10583220.76</v>
      </c>
      <c r="I47" s="28">
        <f t="shared" si="1"/>
        <v>1227550</v>
      </c>
      <c r="J47" s="28">
        <f t="shared" si="1"/>
        <v>860664</v>
      </c>
      <c r="K47" s="28">
        <f t="shared" si="1"/>
        <v>72432574</v>
      </c>
      <c r="L47" s="4" t="e">
        <f>B47-#REF!-#REF!-#REF!-#REF!-#REF!-#REF!-#REF!-#REF!</f>
        <v>#REF!</v>
      </c>
    </row>
    <row r="48" spans="1:12" x14ac:dyDescent="0.25">
      <c r="A48" s="24" t="s">
        <v>61</v>
      </c>
      <c r="B48" s="70">
        <v>0</v>
      </c>
      <c r="D48" s="4">
        <f>D47-3100000</f>
        <v>20279830</v>
      </c>
      <c r="L48" s="4">
        <f>B48-D47-E47-F47-G47-H47-I47-J47-K47</f>
        <v>-129001537.75999999</v>
      </c>
    </row>
    <row r="49" spans="1:11" s="14" customFormat="1" x14ac:dyDescent="0.25">
      <c r="A49" s="22"/>
      <c r="B49" s="67"/>
      <c r="C49" s="16"/>
      <c r="D49" s="23"/>
      <c r="E49" s="23"/>
      <c r="F49" s="23"/>
      <c r="G49" s="23"/>
      <c r="H49" s="23"/>
      <c r="I49" s="23"/>
      <c r="J49" s="23"/>
      <c r="K49" s="23"/>
    </row>
    <row r="50" spans="1:11" s="14" customFormat="1" x14ac:dyDescent="0.25">
      <c r="A50" s="19"/>
      <c r="B50" s="68"/>
      <c r="C50" s="18"/>
      <c r="D50" s="15"/>
      <c r="E50" s="15"/>
      <c r="F50" s="15"/>
      <c r="G50" s="15"/>
      <c r="H50" s="15"/>
      <c r="I50" s="15"/>
      <c r="J50" s="15"/>
      <c r="K50" s="15"/>
    </row>
    <row r="51" spans="1:11" s="14" customFormat="1" x14ac:dyDescent="0.25">
      <c r="B51" s="68"/>
      <c r="C51" s="18"/>
      <c r="D51" s="15"/>
      <c r="E51" s="15"/>
      <c r="F51" s="15"/>
      <c r="G51" s="15"/>
      <c r="H51" s="15"/>
      <c r="I51" s="15"/>
      <c r="J51" s="15"/>
      <c r="K51" s="15"/>
    </row>
    <row r="52" spans="1:11" s="14" customFormat="1" x14ac:dyDescent="0.25">
      <c r="B52" s="68"/>
      <c r="C52" s="16"/>
      <c r="D52" s="15"/>
      <c r="E52" s="15"/>
      <c r="F52" s="15"/>
      <c r="G52" s="15"/>
      <c r="H52" s="15"/>
      <c r="I52" s="15"/>
      <c r="J52" s="15"/>
      <c r="K52" s="15"/>
    </row>
    <row r="53" spans="1:11" s="14" customFormat="1" x14ac:dyDescent="0.25">
      <c r="B53" s="68"/>
      <c r="C53" s="16"/>
      <c r="D53" s="15"/>
      <c r="E53" s="15"/>
      <c r="F53" s="15"/>
      <c r="G53" s="15"/>
      <c r="H53" s="15"/>
      <c r="I53" s="15"/>
      <c r="J53" s="15"/>
      <c r="K53" s="15"/>
    </row>
    <row r="54" spans="1:11" s="14" customFormat="1" x14ac:dyDescent="0.25">
      <c r="B54" s="68"/>
      <c r="C54" s="16"/>
      <c r="D54" s="15"/>
      <c r="E54" s="15"/>
      <c r="F54" s="15"/>
      <c r="G54" s="15"/>
      <c r="H54" s="15"/>
      <c r="I54" s="15"/>
      <c r="J54" s="15"/>
      <c r="K54" s="15"/>
    </row>
    <row r="55" spans="1:11" s="14" customFormat="1" x14ac:dyDescent="0.25">
      <c r="B55" s="69"/>
      <c r="C55" s="16"/>
      <c r="D55" s="17"/>
      <c r="E55" s="17"/>
      <c r="F55" s="17"/>
      <c r="G55" s="17"/>
      <c r="H55" s="17"/>
      <c r="I55" s="17"/>
      <c r="J55" s="17"/>
      <c r="K55" s="17"/>
    </row>
    <row r="56" spans="1:11" s="14" customFormat="1" x14ac:dyDescent="0.25">
      <c r="B56" s="68"/>
      <c r="C56" s="16"/>
      <c r="D56" s="15"/>
      <c r="E56" s="15"/>
      <c r="F56" s="15"/>
      <c r="G56" s="15"/>
      <c r="H56" s="15"/>
      <c r="I56" s="15"/>
      <c r="J56" s="15"/>
      <c r="K56" s="15"/>
    </row>
    <row r="57" spans="1:11" s="14" customFormat="1" x14ac:dyDescent="0.25">
      <c r="B57" s="68"/>
      <c r="C57" s="16"/>
      <c r="D57" s="15"/>
      <c r="E57" s="15"/>
      <c r="F57" s="15"/>
      <c r="G57" s="15"/>
      <c r="H57" s="15"/>
      <c r="I57" s="15"/>
      <c r="J57" s="15"/>
      <c r="K57" s="15"/>
    </row>
  </sheetData>
  <sortState xmlns:xlrd2="http://schemas.microsoft.com/office/spreadsheetml/2017/richdata2" ref="A17:C46">
    <sortCondition ref="A17:A46"/>
  </sortState>
  <printOptions gridLines="1"/>
  <pageMargins left="0.2" right="0.2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E4A6-20AC-4101-BEBA-F7F215646966}">
  <dimension ref="A1:H121"/>
  <sheetViews>
    <sheetView topLeftCell="A11" zoomScale="90" zoomScaleNormal="90" workbookViewId="0">
      <pane xSplit="2" ySplit="3" topLeftCell="C87" activePane="bottomRight" state="frozen"/>
      <selection activeCell="A11" sqref="A11"/>
      <selection pane="topRight" activeCell="C11" sqref="C11"/>
      <selection pane="bottomLeft" activeCell="A14" sqref="A14"/>
      <selection pane="bottomRight" activeCell="A12" sqref="A12"/>
    </sheetView>
  </sheetViews>
  <sheetFormatPr defaultColWidth="9.109375" defaultRowHeight="14.4" x14ac:dyDescent="0.3"/>
  <cols>
    <col min="1" max="1" width="52.88671875" style="47" customWidth="1"/>
    <col min="2" max="2" width="14.44140625" style="23" bestFit="1" customWidth="1"/>
    <col min="3" max="3" width="57" style="21" customWidth="1"/>
    <col min="4" max="8" width="14.44140625" style="23" bestFit="1" customWidth="1"/>
    <col min="9" max="16384" width="9.109375" style="40"/>
  </cols>
  <sheetData>
    <row r="1" spans="1:8" ht="17.399999999999999" x14ac:dyDescent="0.3">
      <c r="A1" s="39" t="s">
        <v>44</v>
      </c>
    </row>
    <row r="2" spans="1:8" x14ac:dyDescent="0.3">
      <c r="A2" s="41" t="s">
        <v>195</v>
      </c>
    </row>
    <row r="3" spans="1:8" x14ac:dyDescent="0.3">
      <c r="A3" s="41" t="s">
        <v>60</v>
      </c>
      <c r="B3" s="35" t="s">
        <v>1</v>
      </c>
      <c r="C3" s="42" t="s">
        <v>103</v>
      </c>
      <c r="D3" s="11"/>
      <c r="E3" s="11"/>
      <c r="F3" s="11"/>
      <c r="G3" s="11"/>
      <c r="H3" s="11"/>
    </row>
    <row r="4" spans="1:8" x14ac:dyDescent="0.3">
      <c r="A4" s="41" t="s">
        <v>163</v>
      </c>
      <c r="B4" s="11">
        <f>75000000-10000000</f>
        <v>65000000</v>
      </c>
      <c r="C4" s="21" t="s">
        <v>96</v>
      </c>
      <c r="D4" s="11"/>
      <c r="E4" s="11"/>
      <c r="F4" s="11"/>
      <c r="G4" s="11"/>
      <c r="H4" s="11"/>
    </row>
    <row r="5" spans="1:8" ht="28.2" x14ac:dyDescent="0.3">
      <c r="A5" s="43" t="s">
        <v>98</v>
      </c>
      <c r="B5" s="12">
        <v>45000000</v>
      </c>
      <c r="C5" s="21" t="s">
        <v>101</v>
      </c>
      <c r="D5" s="11"/>
      <c r="E5" s="11"/>
      <c r="F5" s="11"/>
      <c r="G5" s="11"/>
      <c r="H5" s="11"/>
    </row>
    <row r="6" spans="1:8" ht="42" x14ac:dyDescent="0.3">
      <c r="A6" s="43" t="s">
        <v>97</v>
      </c>
      <c r="B6" s="12">
        <v>40000000</v>
      </c>
      <c r="C6" s="21" t="s">
        <v>100</v>
      </c>
      <c r="D6" s="11"/>
      <c r="E6" s="11"/>
      <c r="F6" s="11"/>
      <c r="G6" s="11"/>
      <c r="H6" s="11"/>
    </row>
    <row r="7" spans="1:8" ht="27.6" x14ac:dyDescent="0.3">
      <c r="A7" s="58" t="s">
        <v>199</v>
      </c>
      <c r="B7" s="12">
        <f>40000000-28725000</f>
        <v>11275000</v>
      </c>
      <c r="C7" s="38" t="s">
        <v>168</v>
      </c>
      <c r="D7" s="11"/>
      <c r="E7" s="11"/>
      <c r="F7" s="11"/>
      <c r="G7" s="11"/>
      <c r="H7" s="11"/>
    </row>
    <row r="8" spans="1:8" ht="42" x14ac:dyDescent="0.3">
      <c r="A8" s="43" t="s">
        <v>99</v>
      </c>
      <c r="B8" s="20">
        <v>12662200</v>
      </c>
      <c r="C8" s="21" t="s">
        <v>102</v>
      </c>
      <c r="D8" s="11"/>
      <c r="E8" s="11"/>
      <c r="F8" s="11"/>
      <c r="G8" s="11"/>
      <c r="H8" s="11"/>
    </row>
    <row r="9" spans="1:8" x14ac:dyDescent="0.3">
      <c r="A9" s="41" t="s">
        <v>138</v>
      </c>
      <c r="B9" s="26">
        <v>10000000</v>
      </c>
      <c r="C9" s="21" t="s">
        <v>130</v>
      </c>
      <c r="D9" s="11"/>
      <c r="E9" s="11"/>
      <c r="F9" s="11"/>
      <c r="G9" s="11"/>
      <c r="H9" s="11"/>
    </row>
    <row r="10" spans="1:8" x14ac:dyDescent="0.3">
      <c r="A10" s="41" t="s">
        <v>115</v>
      </c>
      <c r="B10" s="32">
        <f>SUM(B4:B9)</f>
        <v>183937200</v>
      </c>
      <c r="D10" s="11"/>
      <c r="E10" s="11"/>
      <c r="F10" s="11"/>
      <c r="G10" s="11"/>
      <c r="H10" s="11"/>
    </row>
    <row r="11" spans="1:8" ht="17.399999999999999" x14ac:dyDescent="0.3">
      <c r="A11" s="39" t="s">
        <v>44</v>
      </c>
      <c r="D11" s="44" t="s">
        <v>89</v>
      </c>
      <c r="E11" s="44" t="s">
        <v>80</v>
      </c>
    </row>
    <row r="12" spans="1:8" x14ac:dyDescent="0.3">
      <c r="A12" s="41" t="s">
        <v>240</v>
      </c>
      <c r="B12" s="44" t="s">
        <v>1</v>
      </c>
      <c r="C12" s="42" t="s">
        <v>2</v>
      </c>
      <c r="D12" s="44" t="s">
        <v>90</v>
      </c>
      <c r="E12" s="44" t="s">
        <v>81</v>
      </c>
      <c r="F12" s="44" t="s">
        <v>85</v>
      </c>
      <c r="G12" s="44"/>
      <c r="H12" s="44" t="s">
        <v>83</v>
      </c>
    </row>
    <row r="13" spans="1:8" x14ac:dyDescent="0.3">
      <c r="A13" s="45" t="s">
        <v>0</v>
      </c>
      <c r="B13" s="35" t="s">
        <v>53</v>
      </c>
      <c r="C13" s="42" t="s">
        <v>3</v>
      </c>
      <c r="D13" s="35" t="s">
        <v>91</v>
      </c>
      <c r="E13" s="35" t="s">
        <v>82</v>
      </c>
      <c r="F13" s="35" t="s">
        <v>86</v>
      </c>
      <c r="G13" s="35" t="s">
        <v>87</v>
      </c>
      <c r="H13" s="35" t="s">
        <v>84</v>
      </c>
    </row>
    <row r="14" spans="1:8" ht="16.8" x14ac:dyDescent="0.3">
      <c r="A14" s="46" t="s">
        <v>96</v>
      </c>
    </row>
    <row r="15" spans="1:8" x14ac:dyDescent="0.3">
      <c r="A15" s="41" t="s">
        <v>135</v>
      </c>
      <c r="B15" s="32">
        <f>75000000-10000000</f>
        <v>65000000</v>
      </c>
      <c r="C15" s="8"/>
    </row>
    <row r="16" spans="1:8" x14ac:dyDescent="0.3">
      <c r="A16" s="47" t="s">
        <v>152</v>
      </c>
      <c r="B16" s="23">
        <f>300000+75000</f>
        <v>375000</v>
      </c>
      <c r="C16" s="8" t="s">
        <v>153</v>
      </c>
      <c r="D16" s="23">
        <v>300000</v>
      </c>
      <c r="F16" s="23">
        <v>75000</v>
      </c>
    </row>
    <row r="17" spans="1:8" ht="27.6" x14ac:dyDescent="0.3">
      <c r="A17" s="48" t="s">
        <v>116</v>
      </c>
      <c r="B17" s="20">
        <f>5720+100000+52780</f>
        <v>158500</v>
      </c>
      <c r="C17" s="38" t="s">
        <v>45</v>
      </c>
      <c r="D17" s="20">
        <v>100000</v>
      </c>
      <c r="E17" s="20">
        <f>5720+52780</f>
        <v>58500</v>
      </c>
    </row>
    <row r="18" spans="1:8" x14ac:dyDescent="0.3">
      <c r="A18" s="47" t="s">
        <v>123</v>
      </c>
      <c r="B18" s="23">
        <f>3000000+3000000</f>
        <v>6000000</v>
      </c>
      <c r="C18" s="21" t="s">
        <v>38</v>
      </c>
      <c r="D18" s="23">
        <f>3000000+3000000</f>
        <v>6000000</v>
      </c>
    </row>
    <row r="19" spans="1:8" x14ac:dyDescent="0.3">
      <c r="A19" s="48" t="s">
        <v>154</v>
      </c>
      <c r="B19" s="20">
        <f>34768</f>
        <v>34768</v>
      </c>
      <c r="C19" s="21" t="s">
        <v>19</v>
      </c>
      <c r="D19" s="20"/>
      <c r="E19" s="20">
        <v>34768</v>
      </c>
      <c r="F19" s="20"/>
      <c r="G19" s="20"/>
      <c r="H19" s="20"/>
    </row>
    <row r="20" spans="1:8" ht="28.2" x14ac:dyDescent="0.3">
      <c r="A20" s="48" t="s">
        <v>74</v>
      </c>
      <c r="B20" s="20">
        <f>150020+370000</f>
        <v>520020</v>
      </c>
      <c r="C20" s="21" t="s">
        <v>139</v>
      </c>
      <c r="D20" s="20">
        <v>370000</v>
      </c>
      <c r="E20" s="20"/>
      <c r="F20" s="20"/>
      <c r="G20" s="20">
        <v>150020</v>
      </c>
      <c r="H20" s="20"/>
    </row>
    <row r="21" spans="1:8" ht="28.2" x14ac:dyDescent="0.3">
      <c r="A21" s="48" t="s">
        <v>125</v>
      </c>
      <c r="B21" s="20">
        <f>300000+371314+500000</f>
        <v>1171314</v>
      </c>
      <c r="C21" s="21" t="s">
        <v>45</v>
      </c>
      <c r="D21" s="20">
        <f>300000+500000</f>
        <v>800000</v>
      </c>
      <c r="E21" s="20">
        <v>371314</v>
      </c>
      <c r="F21" s="20"/>
      <c r="G21" s="20"/>
      <c r="H21" s="20"/>
    </row>
    <row r="22" spans="1:8" ht="27.6" x14ac:dyDescent="0.3">
      <c r="A22" s="48" t="s">
        <v>41</v>
      </c>
      <c r="B22" s="20">
        <f>794989</f>
        <v>794989</v>
      </c>
      <c r="C22" s="38" t="s">
        <v>126</v>
      </c>
      <c r="D22" s="20"/>
      <c r="E22" s="20"/>
      <c r="F22" s="20"/>
      <c r="G22" s="20">
        <f>794989</f>
        <v>794989</v>
      </c>
    </row>
    <row r="23" spans="1:8" ht="55.8" x14ac:dyDescent="0.3">
      <c r="A23" s="48" t="s">
        <v>66</v>
      </c>
      <c r="B23" s="20">
        <f>298100+330000+60000+1000000+140000+2371240+10000+200000</f>
        <v>4409340</v>
      </c>
      <c r="C23" s="21" t="s">
        <v>156</v>
      </c>
      <c r="D23" s="20"/>
      <c r="E23" s="20"/>
      <c r="F23" s="20"/>
      <c r="G23" s="20"/>
      <c r="H23" s="20">
        <f>298100+330000+60000+1000000+140000+2371240+10000+200000</f>
        <v>4409340</v>
      </c>
    </row>
    <row r="24" spans="1:8" ht="28.2" x14ac:dyDescent="0.3">
      <c r="A24" s="48" t="s">
        <v>70</v>
      </c>
      <c r="B24" s="20">
        <f>301156+80000+33518+350000</f>
        <v>764674</v>
      </c>
      <c r="C24" s="21" t="s">
        <v>71</v>
      </c>
      <c r="D24" s="20">
        <f>33518+350000</f>
        <v>383518</v>
      </c>
      <c r="E24" s="20">
        <f>301156</f>
        <v>301156</v>
      </c>
      <c r="F24" s="20">
        <v>80000</v>
      </c>
      <c r="G24" s="20"/>
      <c r="H24" s="20"/>
    </row>
    <row r="25" spans="1:8" x14ac:dyDescent="0.3">
      <c r="A25" s="47" t="s">
        <v>59</v>
      </c>
      <c r="B25" s="23">
        <v>830546</v>
      </c>
      <c r="C25" s="49" t="s">
        <v>19</v>
      </c>
      <c r="E25" s="23">
        <v>830546</v>
      </c>
    </row>
    <row r="26" spans="1:8" ht="27.6" x14ac:dyDescent="0.3">
      <c r="A26" s="48" t="s">
        <v>52</v>
      </c>
      <c r="B26" s="20">
        <f>2500000+1750000+897000</f>
        <v>5147000</v>
      </c>
      <c r="C26" s="38" t="s">
        <v>45</v>
      </c>
      <c r="D26" s="20">
        <f>2500000+1750000</f>
        <v>4250000</v>
      </c>
      <c r="E26" s="20">
        <v>897000</v>
      </c>
    </row>
    <row r="27" spans="1:8" ht="28.2" x14ac:dyDescent="0.3">
      <c r="A27" s="47" t="s">
        <v>63</v>
      </c>
      <c r="B27" s="20">
        <f>100000+41288+80000+250000</f>
        <v>471288</v>
      </c>
      <c r="C27" s="21" t="s">
        <v>140</v>
      </c>
      <c r="D27" s="23">
        <f>100000+250000</f>
        <v>350000</v>
      </c>
      <c r="E27" s="23">
        <v>41288</v>
      </c>
      <c r="F27" s="23">
        <v>80000</v>
      </c>
    </row>
    <row r="28" spans="1:8" ht="27.6" x14ac:dyDescent="0.3">
      <c r="A28" s="47" t="s">
        <v>161</v>
      </c>
      <c r="B28" s="20">
        <f>6776+75000</f>
        <v>81776</v>
      </c>
      <c r="C28" s="49" t="s">
        <v>162</v>
      </c>
      <c r="E28" s="23">
        <v>6776</v>
      </c>
      <c r="F28" s="23">
        <v>75000</v>
      </c>
    </row>
    <row r="29" spans="1:8" ht="27.6" x14ac:dyDescent="0.3">
      <c r="A29" s="48" t="s">
        <v>75</v>
      </c>
      <c r="B29" s="20">
        <f>250000+85400+200000+89466</f>
        <v>624866</v>
      </c>
      <c r="C29" s="38" t="s">
        <v>155</v>
      </c>
      <c r="D29" s="20">
        <v>200000</v>
      </c>
      <c r="E29" s="20">
        <v>89466</v>
      </c>
      <c r="F29" s="20">
        <v>250000</v>
      </c>
      <c r="G29" s="20">
        <v>85400</v>
      </c>
      <c r="H29" s="20"/>
    </row>
    <row r="30" spans="1:8" x14ac:dyDescent="0.3">
      <c r="A30" s="48" t="s">
        <v>79</v>
      </c>
      <c r="B30" s="20">
        <v>18326</v>
      </c>
      <c r="C30" s="49" t="s">
        <v>19</v>
      </c>
      <c r="D30" s="20"/>
      <c r="E30" s="20">
        <v>18326</v>
      </c>
      <c r="F30" s="20"/>
      <c r="G30" s="20"/>
      <c r="H30" s="20"/>
    </row>
    <row r="31" spans="1:8" x14ac:dyDescent="0.3">
      <c r="A31" s="48" t="s">
        <v>62</v>
      </c>
      <c r="B31" s="20">
        <v>70242</v>
      </c>
      <c r="C31" s="49" t="s">
        <v>19</v>
      </c>
      <c r="D31" s="20"/>
      <c r="E31" s="20">
        <v>70242</v>
      </c>
      <c r="F31" s="20"/>
      <c r="G31" s="20"/>
      <c r="H31" s="20"/>
    </row>
    <row r="32" spans="1:8" x14ac:dyDescent="0.3">
      <c r="A32" s="48" t="s">
        <v>64</v>
      </c>
      <c r="B32" s="20">
        <v>24707</v>
      </c>
      <c r="C32" s="49" t="s">
        <v>19</v>
      </c>
      <c r="D32" s="20"/>
      <c r="E32" s="20">
        <v>24707</v>
      </c>
      <c r="F32" s="20"/>
      <c r="G32" s="20"/>
      <c r="H32" s="20"/>
    </row>
    <row r="33" spans="1:8" ht="28.2" x14ac:dyDescent="0.3">
      <c r="A33" s="48" t="s">
        <v>39</v>
      </c>
      <c r="B33" s="20">
        <f>531000+220000+686203+1159305+3581491+2000000</f>
        <v>8177999</v>
      </c>
      <c r="C33" s="21" t="s">
        <v>57</v>
      </c>
      <c r="D33" s="20">
        <f>531000+2000000</f>
        <v>2531000</v>
      </c>
      <c r="E33" s="20">
        <f>686203+1159305+3581491</f>
        <v>5426999</v>
      </c>
      <c r="F33" s="20">
        <v>220000</v>
      </c>
      <c r="G33" s="20"/>
      <c r="H33" s="20"/>
    </row>
    <row r="34" spans="1:8" x14ac:dyDescent="0.3">
      <c r="A34" s="48" t="s">
        <v>35</v>
      </c>
      <c r="B34" s="20">
        <f>226160+52619</f>
        <v>278779</v>
      </c>
      <c r="C34" s="21" t="s">
        <v>19</v>
      </c>
      <c r="D34" s="20"/>
      <c r="E34" s="20">
        <v>226160</v>
      </c>
      <c r="F34" s="20"/>
      <c r="G34" s="20">
        <v>52619</v>
      </c>
      <c r="H34" s="20"/>
    </row>
    <row r="35" spans="1:8" x14ac:dyDescent="0.3">
      <c r="A35" s="48" t="s">
        <v>159</v>
      </c>
      <c r="B35" s="20">
        <f>868817+75000</f>
        <v>943817</v>
      </c>
      <c r="C35" s="21" t="s">
        <v>38</v>
      </c>
      <c r="D35" s="20">
        <v>868817</v>
      </c>
      <c r="E35" s="20"/>
      <c r="F35" s="20">
        <v>75000</v>
      </c>
      <c r="G35" s="20"/>
      <c r="H35" s="20"/>
    </row>
    <row r="36" spans="1:8" ht="41.4" x14ac:dyDescent="0.3">
      <c r="A36" s="48" t="s">
        <v>36</v>
      </c>
      <c r="B36" s="20">
        <f>(531000+400000)+220000+1171294+1567422+72308+89020+7418+75000+34000+249243+60000</f>
        <v>4476705</v>
      </c>
      <c r="C36" s="38" t="s">
        <v>187</v>
      </c>
      <c r="D36" s="20">
        <f>531000+400000</f>
        <v>931000</v>
      </c>
      <c r="E36" s="20">
        <f>1171294+1567422+72308+89020+7418</f>
        <v>2907462</v>
      </c>
      <c r="F36" s="20">
        <v>220000</v>
      </c>
      <c r="G36" s="20">
        <v>75000</v>
      </c>
      <c r="H36" s="20">
        <f>34000+249243+60000</f>
        <v>343243</v>
      </c>
    </row>
    <row r="37" spans="1:8" ht="28.2" x14ac:dyDescent="0.3">
      <c r="A37" s="48" t="s">
        <v>37</v>
      </c>
      <c r="B37" s="20">
        <f>31531+391756</f>
        <v>423287</v>
      </c>
      <c r="C37" s="21" t="s">
        <v>142</v>
      </c>
      <c r="D37" s="20"/>
      <c r="E37" s="20">
        <v>391756</v>
      </c>
      <c r="F37" s="20"/>
      <c r="G37" s="20">
        <v>31531</v>
      </c>
      <c r="H37" s="20"/>
    </row>
    <row r="38" spans="1:8" ht="28.2" x14ac:dyDescent="0.3">
      <c r="A38" s="48" t="s">
        <v>237</v>
      </c>
      <c r="B38" s="20">
        <v>35000</v>
      </c>
      <c r="C38" s="21" t="s">
        <v>238</v>
      </c>
      <c r="D38" s="20"/>
      <c r="E38" s="20"/>
      <c r="F38" s="20"/>
      <c r="G38" s="20"/>
      <c r="H38" s="20">
        <v>35000</v>
      </c>
    </row>
    <row r="39" spans="1:8" x14ac:dyDescent="0.3">
      <c r="A39" s="48" t="s">
        <v>65</v>
      </c>
      <c r="B39" s="20">
        <f>1500000+1000000</f>
        <v>2500000</v>
      </c>
      <c r="C39" s="21" t="s">
        <v>38</v>
      </c>
      <c r="D39" s="20">
        <f>1500000+1000000</f>
        <v>2500000</v>
      </c>
      <c r="E39" s="20"/>
      <c r="F39" s="20"/>
      <c r="G39" s="20"/>
      <c r="H39" s="20"/>
    </row>
    <row r="40" spans="1:8" x14ac:dyDescent="0.3">
      <c r="A40" s="48" t="s">
        <v>72</v>
      </c>
      <c r="B40" s="20">
        <v>25548</v>
      </c>
      <c r="C40" s="49" t="s">
        <v>19</v>
      </c>
      <c r="D40" s="20"/>
      <c r="E40" s="20">
        <v>25548</v>
      </c>
      <c r="F40" s="20"/>
      <c r="G40" s="20"/>
      <c r="H40" s="20"/>
    </row>
    <row r="41" spans="1:8" ht="28.2" x14ac:dyDescent="0.3">
      <c r="A41" s="48" t="s">
        <v>128</v>
      </c>
      <c r="B41" s="20">
        <f>400000+46743</f>
        <v>446743</v>
      </c>
      <c r="C41" s="21" t="s">
        <v>45</v>
      </c>
      <c r="D41" s="20">
        <v>400000</v>
      </c>
      <c r="E41" s="20">
        <v>46743</v>
      </c>
      <c r="F41" s="20"/>
      <c r="G41" s="20"/>
      <c r="H41" s="20"/>
    </row>
    <row r="42" spans="1:8" ht="28.2" x14ac:dyDescent="0.3">
      <c r="A42" s="48" t="s">
        <v>54</v>
      </c>
      <c r="B42" s="20">
        <v>31000</v>
      </c>
      <c r="C42" s="21" t="s">
        <v>45</v>
      </c>
      <c r="D42" s="20">
        <v>5000</v>
      </c>
      <c r="E42" s="20">
        <v>26000</v>
      </c>
      <c r="F42" s="20"/>
      <c r="G42" s="20"/>
      <c r="H42" s="20"/>
    </row>
    <row r="43" spans="1:8" x14ac:dyDescent="0.3">
      <c r="A43" s="47" t="s">
        <v>42</v>
      </c>
      <c r="B43" s="23">
        <v>130000</v>
      </c>
      <c r="C43" s="49" t="s">
        <v>19</v>
      </c>
      <c r="E43" s="23">
        <v>130000</v>
      </c>
    </row>
    <row r="44" spans="1:8" x14ac:dyDescent="0.3">
      <c r="A44" s="47" t="s">
        <v>200</v>
      </c>
      <c r="B44" s="23">
        <f>3000000+3000000+702584+2860699+5000000+42560</f>
        <v>14605843</v>
      </c>
      <c r="C44" s="21" t="s">
        <v>117</v>
      </c>
      <c r="D44" s="23">
        <f>3000000+3000000+5000000</f>
        <v>11000000</v>
      </c>
      <c r="E44" s="23">
        <v>2860699</v>
      </c>
      <c r="G44" s="23">
        <v>702584</v>
      </c>
      <c r="H44" s="23">
        <v>42560</v>
      </c>
    </row>
    <row r="45" spans="1:8" x14ac:dyDescent="0.3">
      <c r="A45" s="50" t="s">
        <v>43</v>
      </c>
      <c r="B45" s="23">
        <v>1495000</v>
      </c>
      <c r="C45" s="49" t="s">
        <v>19</v>
      </c>
      <c r="E45" s="23">
        <v>1495000</v>
      </c>
    </row>
    <row r="46" spans="1:8" x14ac:dyDescent="0.3">
      <c r="A46" s="50" t="s">
        <v>137</v>
      </c>
      <c r="B46" s="23">
        <f>250000+400000+890000-42560-10000-200000-35000</f>
        <v>1252440</v>
      </c>
      <c r="C46" s="50" t="s">
        <v>167</v>
      </c>
      <c r="H46" s="23">
        <f>B46</f>
        <v>1252440</v>
      </c>
    </row>
    <row r="47" spans="1:8" ht="82.8" x14ac:dyDescent="0.3">
      <c r="A47" s="48" t="s">
        <v>67</v>
      </c>
      <c r="B47" s="20">
        <f>1482000+6087237+950000+(650000-650000)</f>
        <v>8519237</v>
      </c>
      <c r="C47" s="49" t="s">
        <v>141</v>
      </c>
      <c r="D47" s="20"/>
      <c r="E47" s="20">
        <v>6087237</v>
      </c>
      <c r="F47" s="20"/>
      <c r="G47" s="20"/>
      <c r="H47" s="20">
        <f>1482000+950000+(650000-650000)</f>
        <v>2432000</v>
      </c>
    </row>
    <row r="48" spans="1:8" ht="27.6" x14ac:dyDescent="0.3">
      <c r="A48" s="48" t="s">
        <v>68</v>
      </c>
      <c r="B48" s="26">
        <f>89570+50000+20000</f>
        <v>159570</v>
      </c>
      <c r="C48" s="49" t="s">
        <v>69</v>
      </c>
      <c r="D48" s="26"/>
      <c r="E48" s="26">
        <v>89570</v>
      </c>
      <c r="F48" s="26">
        <v>50000</v>
      </c>
      <c r="G48" s="26">
        <v>20000</v>
      </c>
      <c r="H48" s="26"/>
    </row>
    <row r="49" spans="1:8" x14ac:dyDescent="0.3">
      <c r="A49" s="41" t="s">
        <v>93</v>
      </c>
      <c r="B49" s="51">
        <f>SUM(B16:B48)</f>
        <v>64998324</v>
      </c>
      <c r="D49" s="34">
        <f>SUM(D16:D48)</f>
        <v>30989335</v>
      </c>
      <c r="E49" s="34">
        <f>SUM(E16:E48)</f>
        <v>22457263</v>
      </c>
      <c r="F49" s="34">
        <f>SUM(F16:F48)</f>
        <v>1125000</v>
      </c>
      <c r="G49" s="34">
        <f>SUM(G16:G48)</f>
        <v>1912143</v>
      </c>
      <c r="H49" s="34">
        <f>SUM(H16:H48)</f>
        <v>8514583</v>
      </c>
    </row>
    <row r="50" spans="1:8" x14ac:dyDescent="0.3">
      <c r="A50" s="41" t="s">
        <v>92</v>
      </c>
      <c r="B50" s="27">
        <f>B15-B49</f>
        <v>1676</v>
      </c>
      <c r="C50" s="38"/>
      <c r="D50" s="37"/>
      <c r="E50" s="37"/>
      <c r="F50" s="37"/>
      <c r="G50" s="37"/>
      <c r="H50" s="37"/>
    </row>
    <row r="51" spans="1:8" x14ac:dyDescent="0.3">
      <c r="A51" s="52"/>
      <c r="C51" s="38"/>
    </row>
    <row r="52" spans="1:8" ht="16.8" x14ac:dyDescent="0.3">
      <c r="A52" s="46" t="s">
        <v>131</v>
      </c>
      <c r="B52" s="27"/>
      <c r="C52" s="38"/>
      <c r="H52" s="40"/>
    </row>
    <row r="53" spans="1:8" x14ac:dyDescent="0.3">
      <c r="A53" s="43" t="s">
        <v>134</v>
      </c>
      <c r="B53" s="27">
        <v>40000000</v>
      </c>
      <c r="C53" s="38"/>
    </row>
    <row r="54" spans="1:8" x14ac:dyDescent="0.3">
      <c r="A54" s="47" t="s">
        <v>124</v>
      </c>
      <c r="B54" s="23">
        <f>1834900+3315777</f>
        <v>5150677</v>
      </c>
      <c r="C54" s="21" t="s">
        <v>38</v>
      </c>
      <c r="D54" s="23">
        <f>1834900+3315777</f>
        <v>5150677</v>
      </c>
    </row>
    <row r="55" spans="1:8" x14ac:dyDescent="0.3">
      <c r="A55" s="48" t="s">
        <v>154</v>
      </c>
      <c r="B55" s="23">
        <v>235000</v>
      </c>
      <c r="C55" s="21" t="s">
        <v>38</v>
      </c>
      <c r="D55" s="23">
        <v>235000</v>
      </c>
    </row>
    <row r="56" spans="1:8" x14ac:dyDescent="0.3">
      <c r="A56" s="48" t="s">
        <v>158</v>
      </c>
      <c r="B56" s="23">
        <v>200000</v>
      </c>
      <c r="C56" s="21" t="s">
        <v>38</v>
      </c>
      <c r="D56" s="23">
        <v>200000</v>
      </c>
    </row>
    <row r="57" spans="1:8" x14ac:dyDescent="0.3">
      <c r="A57" s="48" t="s">
        <v>189</v>
      </c>
      <c r="B57" s="23">
        <f>1283542+1803665-684345</f>
        <v>2402862</v>
      </c>
      <c r="C57" s="21" t="s">
        <v>38</v>
      </c>
      <c r="D57" s="23">
        <f>1283542+1803665-684345</f>
        <v>2402862</v>
      </c>
    </row>
    <row r="58" spans="1:8" x14ac:dyDescent="0.3">
      <c r="A58" s="47" t="s">
        <v>55</v>
      </c>
      <c r="B58" s="23">
        <f>3200000+3052337+2871878</f>
        <v>9124215</v>
      </c>
      <c r="C58" s="21" t="s">
        <v>38</v>
      </c>
      <c r="D58" s="23">
        <f>3200000+3052337+2871878</f>
        <v>9124215</v>
      </c>
    </row>
    <row r="59" spans="1:8" x14ac:dyDescent="0.3">
      <c r="A59" s="48" t="s">
        <v>35</v>
      </c>
      <c r="B59" s="23">
        <v>82006</v>
      </c>
      <c r="C59" s="21" t="s">
        <v>38</v>
      </c>
      <c r="D59" s="23">
        <v>82006</v>
      </c>
    </row>
    <row r="60" spans="1:8" x14ac:dyDescent="0.3">
      <c r="A60" s="47" t="s">
        <v>56</v>
      </c>
      <c r="B60" s="20">
        <f>6211811+3955683+5228175</f>
        <v>15395669</v>
      </c>
      <c r="C60" s="21" t="s">
        <v>38</v>
      </c>
      <c r="D60" s="20">
        <f>6211811+3955683+5228175</f>
        <v>15395669</v>
      </c>
      <c r="E60" s="20"/>
      <c r="F60" s="20"/>
      <c r="G60" s="20"/>
      <c r="H60" s="20"/>
    </row>
    <row r="61" spans="1:8" x14ac:dyDescent="0.3">
      <c r="A61" s="48" t="s">
        <v>73</v>
      </c>
      <c r="B61" s="20">
        <v>300000</v>
      </c>
      <c r="C61" s="21" t="s">
        <v>38</v>
      </c>
      <c r="D61" s="20">
        <v>300000</v>
      </c>
    </row>
    <row r="62" spans="1:8" x14ac:dyDescent="0.3">
      <c r="A62" s="48" t="s">
        <v>225</v>
      </c>
      <c r="B62" s="20">
        <v>5609571</v>
      </c>
      <c r="C62" s="21" t="s">
        <v>38</v>
      </c>
      <c r="D62" s="20">
        <v>5609571</v>
      </c>
    </row>
    <row r="63" spans="1:8" x14ac:dyDescent="0.3">
      <c r="A63" s="48" t="s">
        <v>217</v>
      </c>
      <c r="B63" s="26">
        <v>1500000</v>
      </c>
      <c r="C63" s="21" t="s">
        <v>38</v>
      </c>
      <c r="D63" s="26">
        <v>1500000</v>
      </c>
    </row>
    <row r="64" spans="1:8" x14ac:dyDescent="0.3">
      <c r="A64" s="43" t="s">
        <v>132</v>
      </c>
      <c r="B64" s="55">
        <f>SUM(B54:B63)</f>
        <v>40000000</v>
      </c>
      <c r="D64" s="27">
        <f>SUM(D54:D63)</f>
        <v>40000000</v>
      </c>
    </row>
    <row r="65" spans="1:8" x14ac:dyDescent="0.3">
      <c r="A65" s="43" t="s">
        <v>133</v>
      </c>
      <c r="B65" s="27">
        <f>B53-B64</f>
        <v>0</v>
      </c>
      <c r="D65" s="27"/>
    </row>
    <row r="66" spans="1:8" x14ac:dyDescent="0.3">
      <c r="A66" s="43"/>
      <c r="B66" s="27"/>
      <c r="D66" s="27"/>
    </row>
    <row r="67" spans="1:8" ht="16.8" x14ac:dyDescent="0.3">
      <c r="A67" s="46" t="s">
        <v>196</v>
      </c>
      <c r="B67" s="27"/>
      <c r="D67" s="27"/>
    </row>
    <row r="68" spans="1:8" x14ac:dyDescent="0.3">
      <c r="A68" s="43" t="s">
        <v>197</v>
      </c>
      <c r="B68" s="27">
        <v>28725000</v>
      </c>
      <c r="D68" s="27"/>
    </row>
    <row r="69" spans="1:8" x14ac:dyDescent="0.3">
      <c r="A69" s="1" t="s">
        <v>201</v>
      </c>
      <c r="B69" s="60">
        <v>350000</v>
      </c>
      <c r="D69" s="60">
        <v>350000</v>
      </c>
    </row>
    <row r="70" spans="1:8" x14ac:dyDescent="0.3">
      <c r="A70" s="1" t="s">
        <v>202</v>
      </c>
      <c r="B70" s="60">
        <v>325000</v>
      </c>
      <c r="D70" s="60">
        <v>325000</v>
      </c>
    </row>
    <row r="71" spans="1:8" x14ac:dyDescent="0.3">
      <c r="A71" s="1" t="s">
        <v>203</v>
      </c>
      <c r="B71" s="60">
        <v>3000000</v>
      </c>
      <c r="D71" s="60">
        <v>3000000</v>
      </c>
    </row>
    <row r="72" spans="1:8" x14ac:dyDescent="0.3">
      <c r="A72" s="1" t="s">
        <v>204</v>
      </c>
      <c r="B72" s="60">
        <f>500000+500000</f>
        <v>1000000</v>
      </c>
      <c r="D72" s="60">
        <f>500000+500000</f>
        <v>1000000</v>
      </c>
    </row>
    <row r="73" spans="1:8" x14ac:dyDescent="0.3">
      <c r="A73" s="1" t="s">
        <v>218</v>
      </c>
      <c r="B73" s="60">
        <v>350000</v>
      </c>
      <c r="D73" s="60">
        <v>350000</v>
      </c>
    </row>
    <row r="74" spans="1:8" x14ac:dyDescent="0.3">
      <c r="A74" s="1" t="s">
        <v>205</v>
      </c>
      <c r="B74" s="60">
        <v>2500000</v>
      </c>
      <c r="D74" s="60">
        <v>2500000</v>
      </c>
    </row>
    <row r="75" spans="1:8" x14ac:dyDescent="0.3">
      <c r="A75" s="1" t="s">
        <v>224</v>
      </c>
      <c r="B75" s="60">
        <v>1500000</v>
      </c>
      <c r="D75" s="60">
        <v>1500000</v>
      </c>
    </row>
    <row r="76" spans="1:8" x14ac:dyDescent="0.3">
      <c r="A76" s="1" t="s">
        <v>206</v>
      </c>
      <c r="B76" s="60">
        <v>750000</v>
      </c>
      <c r="D76" s="60">
        <v>750000</v>
      </c>
    </row>
    <row r="77" spans="1:8" x14ac:dyDescent="0.3">
      <c r="A77" s="1" t="s">
        <v>207</v>
      </c>
      <c r="B77" s="60">
        <v>400000</v>
      </c>
      <c r="D77" s="60">
        <v>400000</v>
      </c>
    </row>
    <row r="78" spans="1:8" x14ac:dyDescent="0.3">
      <c r="A78" s="1" t="s">
        <v>208</v>
      </c>
      <c r="B78" s="60">
        <f>250000+2288401</f>
        <v>2538401</v>
      </c>
      <c r="D78" s="60">
        <f>250000+2288401</f>
        <v>2538401</v>
      </c>
    </row>
    <row r="79" spans="1:8" x14ac:dyDescent="0.3">
      <c r="A79" s="1" t="s">
        <v>219</v>
      </c>
      <c r="B79" s="60">
        <v>869319</v>
      </c>
      <c r="D79" s="60">
        <v>869319</v>
      </c>
      <c r="H79" s="59"/>
    </row>
    <row r="80" spans="1:8" x14ac:dyDescent="0.3">
      <c r="A80" s="1" t="s">
        <v>209</v>
      </c>
      <c r="B80" s="60">
        <v>5468401</v>
      </c>
      <c r="D80" s="60">
        <v>5468401</v>
      </c>
    </row>
    <row r="81" spans="1:8" x14ac:dyDescent="0.3">
      <c r="A81" s="1" t="s">
        <v>210</v>
      </c>
      <c r="B81" s="60">
        <v>350000</v>
      </c>
      <c r="D81" s="60">
        <v>350000</v>
      </c>
    </row>
    <row r="82" spans="1:8" x14ac:dyDescent="0.3">
      <c r="A82" s="1" t="s">
        <v>211</v>
      </c>
      <c r="B82" s="61">
        <f>5000000+2800000+1523879</f>
        <v>9323879</v>
      </c>
      <c r="D82" s="61">
        <f>5000000+2800000+1523879</f>
        <v>9323879</v>
      </c>
    </row>
    <row r="83" spans="1:8" x14ac:dyDescent="0.3">
      <c r="A83" s="43"/>
      <c r="B83" s="57"/>
      <c r="D83" s="57"/>
    </row>
    <row r="84" spans="1:8" x14ac:dyDescent="0.3">
      <c r="A84" s="43" t="s">
        <v>212</v>
      </c>
      <c r="B84" s="55">
        <f>SUM(B69:B83)</f>
        <v>28725000</v>
      </c>
      <c r="D84" s="27">
        <f>SUM(D69:D83)</f>
        <v>28725000</v>
      </c>
    </row>
    <row r="85" spans="1:8" x14ac:dyDescent="0.3">
      <c r="A85" s="43" t="s">
        <v>198</v>
      </c>
      <c r="B85" s="32">
        <f>B68-B84</f>
        <v>0</v>
      </c>
    </row>
    <row r="86" spans="1:8" x14ac:dyDescent="0.3">
      <c r="A86" s="41"/>
      <c r="B86" s="27"/>
      <c r="C86" s="38"/>
    </row>
    <row r="87" spans="1:8" ht="16.8" x14ac:dyDescent="0.3">
      <c r="A87" s="46" t="s">
        <v>94</v>
      </c>
      <c r="B87" s="27"/>
      <c r="C87" s="38"/>
      <c r="D87" s="20"/>
      <c r="E87" s="20"/>
      <c r="F87" s="20"/>
      <c r="G87" s="20"/>
      <c r="H87" s="20"/>
    </row>
    <row r="88" spans="1:8" ht="28.2" x14ac:dyDescent="0.3">
      <c r="A88" s="43" t="s">
        <v>227</v>
      </c>
      <c r="B88" s="27">
        <v>45000000</v>
      </c>
      <c r="C88" s="21" t="s">
        <v>101</v>
      </c>
      <c r="D88" s="20"/>
      <c r="E88" s="20"/>
      <c r="F88" s="20"/>
      <c r="G88" s="20"/>
      <c r="H88" s="20"/>
    </row>
    <row r="89" spans="1:8" x14ac:dyDescent="0.3">
      <c r="A89" s="47" t="s">
        <v>164</v>
      </c>
      <c r="B89" s="25">
        <v>16521613.060000001</v>
      </c>
      <c r="C89" s="38" t="s">
        <v>172</v>
      </c>
    </row>
    <row r="90" spans="1:8" x14ac:dyDescent="0.3">
      <c r="A90" s="41" t="s">
        <v>95</v>
      </c>
      <c r="B90" s="27">
        <f>B88-B89</f>
        <v>28478386.939999998</v>
      </c>
      <c r="C90" s="38"/>
      <c r="D90" s="20"/>
      <c r="E90" s="20"/>
      <c r="F90" s="20"/>
      <c r="G90" s="20"/>
      <c r="H90" s="20"/>
    </row>
    <row r="91" spans="1:8" x14ac:dyDescent="0.3">
      <c r="A91" s="52"/>
      <c r="B91" s="20"/>
      <c r="C91" s="38"/>
      <c r="D91" s="20"/>
      <c r="E91" s="20"/>
      <c r="F91" s="20"/>
      <c r="G91" s="20"/>
      <c r="H91" s="20"/>
    </row>
    <row r="92" spans="1:8" ht="16.8" x14ac:dyDescent="0.3">
      <c r="A92" s="46" t="s">
        <v>104</v>
      </c>
      <c r="B92" s="27"/>
    </row>
    <row r="93" spans="1:8" ht="42" x14ac:dyDescent="0.3">
      <c r="A93" s="43" t="s">
        <v>228</v>
      </c>
      <c r="B93" s="27">
        <v>12662200</v>
      </c>
      <c r="C93" s="21" t="s">
        <v>102</v>
      </c>
    </row>
    <row r="94" spans="1:8" ht="41.4" x14ac:dyDescent="0.3">
      <c r="A94" s="48" t="s">
        <v>127</v>
      </c>
      <c r="B94" s="20">
        <f>(1646755+1171865)+(4379000+260340)+(5204240)</f>
        <v>12662200</v>
      </c>
      <c r="C94" s="49" t="s">
        <v>160</v>
      </c>
      <c r="D94" s="20"/>
      <c r="E94" s="20"/>
      <c r="F94" s="20"/>
      <c r="G94" s="20"/>
      <c r="H94" s="20">
        <f>(1646755+1171865)+(4379000+260340)+(5204240)</f>
        <v>12662200</v>
      </c>
    </row>
    <row r="95" spans="1:8" x14ac:dyDescent="0.3">
      <c r="A95" s="48"/>
      <c r="B95" s="26"/>
      <c r="C95" s="49"/>
      <c r="D95" s="20"/>
      <c r="E95" s="20"/>
      <c r="F95" s="20"/>
      <c r="G95" s="20"/>
      <c r="H95" s="20"/>
    </row>
    <row r="96" spans="1:8" x14ac:dyDescent="0.3">
      <c r="A96" s="43" t="s">
        <v>143</v>
      </c>
      <c r="B96" s="55">
        <f>SUM(B94:B95)</f>
        <v>12662200</v>
      </c>
      <c r="C96" s="49"/>
      <c r="D96" s="20"/>
      <c r="E96" s="20"/>
      <c r="F96" s="20"/>
      <c r="G96" s="20"/>
      <c r="H96" s="20"/>
    </row>
    <row r="97" spans="1:8" x14ac:dyDescent="0.3">
      <c r="A97" s="41" t="s">
        <v>95</v>
      </c>
      <c r="B97" s="27">
        <f>B93-B96</f>
        <v>0</v>
      </c>
      <c r="C97" s="38"/>
      <c r="D97" s="20"/>
      <c r="E97" s="20"/>
      <c r="F97" s="20"/>
      <c r="G97" s="20"/>
      <c r="H97" s="20"/>
    </row>
    <row r="98" spans="1:8" x14ac:dyDescent="0.3">
      <c r="A98" s="52"/>
      <c r="B98" s="20"/>
      <c r="C98" s="38"/>
      <c r="D98" s="20">
        <f>D49+D64+D84</f>
        <v>99714335</v>
      </c>
      <c r="E98" s="20">
        <f>E49+E64</f>
        <v>22457263</v>
      </c>
      <c r="F98" s="20">
        <f>F49+F64</f>
        <v>1125000</v>
      </c>
      <c r="G98" s="20">
        <f>G49+G64</f>
        <v>1912143</v>
      </c>
      <c r="H98" s="20">
        <f>H49+H64</f>
        <v>8514583</v>
      </c>
    </row>
    <row r="99" spans="1:8" x14ac:dyDescent="0.3">
      <c r="B99" s="20"/>
      <c r="C99" s="38"/>
      <c r="D99" s="20"/>
      <c r="E99" s="20"/>
      <c r="F99" s="20"/>
      <c r="G99" s="20"/>
      <c r="H99" s="20"/>
    </row>
    <row r="100" spans="1:8" x14ac:dyDescent="0.3">
      <c r="B100" s="20"/>
      <c r="C100" s="38"/>
      <c r="D100" s="20"/>
      <c r="E100" s="20"/>
      <c r="F100" s="20"/>
      <c r="G100" s="20"/>
      <c r="H100" s="20"/>
    </row>
    <row r="101" spans="1:8" x14ac:dyDescent="0.3">
      <c r="A101" s="52"/>
      <c r="B101" s="20"/>
      <c r="C101" s="38"/>
      <c r="D101" s="20"/>
      <c r="E101" s="20"/>
      <c r="F101" s="20"/>
      <c r="G101" s="20"/>
      <c r="H101" s="20"/>
    </row>
    <row r="102" spans="1:8" x14ac:dyDescent="0.3">
      <c r="C102" s="38"/>
    </row>
    <row r="103" spans="1:8" x14ac:dyDescent="0.3">
      <c r="B103" s="20"/>
      <c r="C103" s="38"/>
    </row>
    <row r="104" spans="1:8" x14ac:dyDescent="0.3">
      <c r="A104" s="52"/>
      <c r="B104" s="20"/>
      <c r="C104" s="38"/>
      <c r="D104" s="20"/>
      <c r="E104" s="20"/>
      <c r="F104" s="20"/>
      <c r="G104" s="20"/>
      <c r="H104" s="20"/>
    </row>
    <row r="105" spans="1:8" x14ac:dyDescent="0.3">
      <c r="A105" s="52"/>
      <c r="B105" s="20"/>
      <c r="C105" s="38"/>
      <c r="D105" s="20"/>
      <c r="E105" s="20"/>
      <c r="F105" s="20"/>
      <c r="G105" s="20"/>
      <c r="H105" s="20"/>
    </row>
    <row r="106" spans="1:8" x14ac:dyDescent="0.3">
      <c r="A106" s="52"/>
      <c r="B106" s="20"/>
      <c r="C106" s="38"/>
      <c r="D106" s="20"/>
      <c r="E106" s="20"/>
      <c r="F106" s="20"/>
      <c r="G106" s="20"/>
      <c r="H106" s="20"/>
    </row>
    <row r="107" spans="1:8" x14ac:dyDescent="0.3">
      <c r="C107" s="38"/>
    </row>
    <row r="109" spans="1:8" x14ac:dyDescent="0.3">
      <c r="A109" s="41"/>
      <c r="B109" s="32"/>
      <c r="D109" s="32"/>
      <c r="E109" s="32"/>
      <c r="F109" s="32"/>
      <c r="G109" s="32"/>
      <c r="H109" s="32"/>
    </row>
    <row r="111" spans="1:8" x14ac:dyDescent="0.3">
      <c r="C111" s="53"/>
    </row>
    <row r="112" spans="1:8" x14ac:dyDescent="0.3">
      <c r="C112" s="53"/>
    </row>
    <row r="113" spans="1:8" x14ac:dyDescent="0.3">
      <c r="C113" s="53"/>
    </row>
    <row r="114" spans="1:8" x14ac:dyDescent="0.3">
      <c r="C114" s="53"/>
    </row>
    <row r="115" spans="1:8" x14ac:dyDescent="0.3">
      <c r="B115" s="32"/>
      <c r="C115" s="54"/>
      <c r="D115" s="32"/>
      <c r="E115" s="32"/>
      <c r="F115" s="32"/>
      <c r="G115" s="32"/>
      <c r="H115" s="32"/>
    </row>
    <row r="116" spans="1:8" x14ac:dyDescent="0.3">
      <c r="A116" s="41"/>
      <c r="C116" s="54"/>
    </row>
    <row r="117" spans="1:8" x14ac:dyDescent="0.3">
      <c r="C117" s="54"/>
    </row>
    <row r="121" spans="1:8" x14ac:dyDescent="0.3">
      <c r="B121" s="32"/>
      <c r="D121" s="32"/>
      <c r="E121" s="32"/>
      <c r="F121" s="32"/>
      <c r="G121" s="32"/>
      <c r="H121" s="32"/>
    </row>
  </sheetData>
  <printOptions horizontalCentered="1" verticalCentered="1" gridLines="1"/>
  <pageMargins left="0.2" right="0.2" top="0.25" bottom="0.2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A8215-4DDD-4004-8E2B-065E81A81800}">
  <dimension ref="A1:F131"/>
  <sheetViews>
    <sheetView tabSelected="1" zoomScale="90" zoomScaleNormal="90" workbookViewId="0">
      <selection activeCell="A2" sqref="A2"/>
    </sheetView>
  </sheetViews>
  <sheetFormatPr defaultRowHeight="14.4" x14ac:dyDescent="0.3"/>
  <cols>
    <col min="1" max="1" width="48.44140625" style="47" customWidth="1"/>
    <col min="2" max="2" width="14.44140625" style="23" bestFit="1" customWidth="1"/>
    <col min="3" max="3" width="44.33203125" style="21" customWidth="1"/>
    <col min="4" max="4" width="13.109375" style="23" bestFit="1" customWidth="1"/>
    <col min="5" max="6" width="14.44140625" style="23" bestFit="1" customWidth="1"/>
  </cols>
  <sheetData>
    <row r="1" spans="1:6" ht="17.399999999999999" x14ac:dyDescent="0.3">
      <c r="A1" s="39" t="s">
        <v>232</v>
      </c>
      <c r="D1" s="44" t="s">
        <v>89</v>
      </c>
      <c r="E1" s="44" t="s">
        <v>80</v>
      </c>
    </row>
    <row r="2" spans="1:6" x14ac:dyDescent="0.3">
      <c r="A2" s="41" t="s">
        <v>240</v>
      </c>
      <c r="B2" s="44" t="s">
        <v>1</v>
      </c>
      <c r="C2" s="42" t="s">
        <v>2</v>
      </c>
      <c r="D2" s="44" t="s">
        <v>90</v>
      </c>
      <c r="E2" s="44" t="s">
        <v>81</v>
      </c>
    </row>
    <row r="3" spans="1:6" x14ac:dyDescent="0.3">
      <c r="A3" s="45" t="s">
        <v>0</v>
      </c>
      <c r="B3" s="35" t="s">
        <v>53</v>
      </c>
      <c r="C3" s="42" t="s">
        <v>3</v>
      </c>
      <c r="D3" s="35" t="s">
        <v>91</v>
      </c>
      <c r="E3" s="35" t="s">
        <v>82</v>
      </c>
      <c r="F3" s="5" t="s">
        <v>87</v>
      </c>
    </row>
    <row r="4" spans="1:6" x14ac:dyDescent="0.3">
      <c r="A4" s="41"/>
      <c r="B4" s="11"/>
      <c r="D4" s="11"/>
      <c r="E4" s="11"/>
      <c r="F4" s="11"/>
    </row>
    <row r="5" spans="1:6" ht="16.8" x14ac:dyDescent="0.3">
      <c r="A5" s="46" t="s">
        <v>96</v>
      </c>
      <c r="D5" s="11"/>
      <c r="E5" s="11"/>
      <c r="F5" s="11"/>
    </row>
    <row r="6" spans="1:6" x14ac:dyDescent="0.3">
      <c r="A6" s="41" t="s">
        <v>233</v>
      </c>
      <c r="B6" s="32">
        <v>47000000</v>
      </c>
      <c r="D6" s="11"/>
      <c r="E6" s="11"/>
      <c r="F6" s="11"/>
    </row>
    <row r="7" spans="1:6" x14ac:dyDescent="0.3">
      <c r="A7" s="58"/>
      <c r="B7" s="12"/>
      <c r="C7" s="38"/>
      <c r="D7" s="11"/>
      <c r="E7" s="11"/>
      <c r="F7" s="11"/>
    </row>
    <row r="8" spans="1:6" x14ac:dyDescent="0.3">
      <c r="A8" s="47" t="s">
        <v>152</v>
      </c>
      <c r="B8" s="12">
        <v>300000</v>
      </c>
      <c r="C8" s="21" t="s">
        <v>38</v>
      </c>
      <c r="D8" s="12">
        <v>300000</v>
      </c>
      <c r="E8" s="11"/>
      <c r="F8" s="11"/>
    </row>
    <row r="9" spans="1:6" x14ac:dyDescent="0.3">
      <c r="A9" s="47" t="s">
        <v>234</v>
      </c>
      <c r="B9" s="12">
        <f>750000</f>
        <v>750000</v>
      </c>
      <c r="C9" s="21" t="s">
        <v>38</v>
      </c>
      <c r="D9" s="12">
        <f>750000</f>
        <v>750000</v>
      </c>
      <c r="E9" s="11"/>
      <c r="F9" s="11"/>
    </row>
    <row r="10" spans="1:6" x14ac:dyDescent="0.3">
      <c r="A10" s="47" t="s">
        <v>123</v>
      </c>
      <c r="B10" s="12">
        <v>5000000</v>
      </c>
      <c r="C10" s="21" t="s">
        <v>38</v>
      </c>
      <c r="D10" s="12">
        <f>B10</f>
        <v>5000000</v>
      </c>
      <c r="E10" s="11"/>
      <c r="F10" s="11"/>
    </row>
    <row r="11" spans="1:6" x14ac:dyDescent="0.3">
      <c r="A11" s="47" t="s">
        <v>125</v>
      </c>
      <c r="B11" s="12">
        <v>165058</v>
      </c>
      <c r="D11" s="12"/>
      <c r="E11" s="11"/>
      <c r="F11" s="12">
        <v>165058</v>
      </c>
    </row>
    <row r="12" spans="1:6" x14ac:dyDescent="0.3">
      <c r="A12" s="47" t="s">
        <v>235</v>
      </c>
      <c r="B12" s="12">
        <v>400000</v>
      </c>
      <c r="C12" s="21" t="s">
        <v>38</v>
      </c>
      <c r="D12" s="12">
        <v>400000</v>
      </c>
      <c r="E12" s="11"/>
      <c r="F12" s="11"/>
    </row>
    <row r="13" spans="1:6" x14ac:dyDescent="0.3">
      <c r="A13" s="71" t="s">
        <v>52</v>
      </c>
      <c r="B13" s="12">
        <v>2500000</v>
      </c>
      <c r="C13" s="21" t="s">
        <v>38</v>
      </c>
      <c r="D13" s="12">
        <v>2500000</v>
      </c>
      <c r="E13" s="11"/>
      <c r="F13" s="11"/>
    </row>
    <row r="14" spans="1:6" x14ac:dyDescent="0.3">
      <c r="A14" s="71" t="s">
        <v>75</v>
      </c>
      <c r="B14" s="12">
        <v>353554</v>
      </c>
      <c r="C14" s="21" t="s">
        <v>38</v>
      </c>
      <c r="D14" s="12">
        <v>353554</v>
      </c>
      <c r="E14" s="11"/>
      <c r="F14" s="11"/>
    </row>
    <row r="15" spans="1:6" x14ac:dyDescent="0.3">
      <c r="A15" s="71" t="s">
        <v>62</v>
      </c>
      <c r="B15" s="12">
        <v>620000</v>
      </c>
      <c r="C15" s="21" t="s">
        <v>38</v>
      </c>
      <c r="D15" s="12">
        <v>620000</v>
      </c>
      <c r="E15" s="11"/>
      <c r="F15" s="11"/>
    </row>
    <row r="16" spans="1:6" ht="42.75" customHeight="1" x14ac:dyDescent="0.3">
      <c r="A16" s="48" t="s">
        <v>39</v>
      </c>
      <c r="B16" s="12">
        <f>2000000+0+0</f>
        <v>2000000</v>
      </c>
      <c r="C16" s="48" t="s">
        <v>38</v>
      </c>
      <c r="D16" s="12">
        <f>B16</f>
        <v>2000000</v>
      </c>
      <c r="E16" s="11"/>
      <c r="F16" s="11"/>
    </row>
    <row r="17" spans="1:6" x14ac:dyDescent="0.3">
      <c r="A17" s="47" t="s">
        <v>159</v>
      </c>
      <c r="B17" s="20">
        <v>4034000</v>
      </c>
      <c r="C17" s="21" t="s">
        <v>38</v>
      </c>
      <c r="D17" s="20">
        <v>4034000</v>
      </c>
      <c r="E17" s="11"/>
      <c r="F17" s="11"/>
    </row>
    <row r="18" spans="1:6" x14ac:dyDescent="0.3">
      <c r="A18" s="47" t="s">
        <v>243</v>
      </c>
      <c r="B18" s="20">
        <v>3000000</v>
      </c>
      <c r="C18" s="21" t="s">
        <v>38</v>
      </c>
      <c r="D18" s="20">
        <v>3000000</v>
      </c>
      <c r="E18" s="11"/>
      <c r="F18" s="11"/>
    </row>
    <row r="19" spans="1:6" ht="42.75" customHeight="1" x14ac:dyDescent="0.3">
      <c r="A19" s="48" t="s">
        <v>6</v>
      </c>
      <c r="B19" s="12">
        <v>42200</v>
      </c>
      <c r="C19" s="21" t="s">
        <v>19</v>
      </c>
      <c r="D19" s="12"/>
      <c r="E19" s="12">
        <v>42200</v>
      </c>
      <c r="F19" s="11"/>
    </row>
    <row r="20" spans="1:6" x14ac:dyDescent="0.3">
      <c r="A20" s="47" t="s">
        <v>128</v>
      </c>
      <c r="B20" s="20">
        <v>400000</v>
      </c>
      <c r="C20" s="21" t="s">
        <v>38</v>
      </c>
      <c r="D20" s="20">
        <v>400000</v>
      </c>
      <c r="E20" s="11"/>
      <c r="F20" s="11"/>
    </row>
    <row r="21" spans="1:6" x14ac:dyDescent="0.3">
      <c r="A21" s="47" t="s">
        <v>200</v>
      </c>
      <c r="B21" s="20">
        <v>5700000</v>
      </c>
      <c r="C21" s="21" t="s">
        <v>38</v>
      </c>
      <c r="D21" s="20">
        <v>5700000</v>
      </c>
      <c r="E21" s="11"/>
      <c r="F21" s="11"/>
    </row>
    <row r="22" spans="1:6" ht="27.6" x14ac:dyDescent="0.3">
      <c r="A22" s="48" t="s">
        <v>241</v>
      </c>
      <c r="B22" s="20">
        <f>720000+1800000+260000+3900000</f>
        <v>6680000</v>
      </c>
      <c r="C22" s="71" t="s">
        <v>248</v>
      </c>
      <c r="D22" s="20"/>
      <c r="E22" s="20">
        <f>B22</f>
        <v>6680000</v>
      </c>
      <c r="F22" s="11"/>
    </row>
    <row r="23" spans="1:6" x14ac:dyDescent="0.3">
      <c r="A23" s="41"/>
      <c r="B23" s="72"/>
      <c r="C23" s="42"/>
      <c r="D23" s="72"/>
      <c r="E23" s="72"/>
      <c r="F23" s="72"/>
    </row>
    <row r="24" spans="1:6" x14ac:dyDescent="0.3">
      <c r="A24" s="73" t="s">
        <v>236</v>
      </c>
      <c r="B24" s="74">
        <f>SUM(B8:B22)</f>
        <v>31944812</v>
      </c>
      <c r="C24" s="42"/>
      <c r="D24" s="35">
        <f>SUM(D8:D22)</f>
        <v>25057554</v>
      </c>
      <c r="E24" s="35">
        <f>SUM(E8:E22)</f>
        <v>6722200</v>
      </c>
      <c r="F24" s="35">
        <f>SUM(F8:F22)</f>
        <v>165058</v>
      </c>
    </row>
    <row r="25" spans="1:6" x14ac:dyDescent="0.3">
      <c r="A25" s="73" t="s">
        <v>242</v>
      </c>
      <c r="B25" s="32">
        <f>B6-B24</f>
        <v>15055188</v>
      </c>
    </row>
    <row r="26" spans="1:6" x14ac:dyDescent="0.3">
      <c r="A26" s="41"/>
      <c r="B26" s="32"/>
      <c r="C26" s="8"/>
    </row>
    <row r="27" spans="1:6" x14ac:dyDescent="0.3">
      <c r="A27" s="41" t="s">
        <v>241</v>
      </c>
      <c r="B27" s="32"/>
      <c r="C27" s="8"/>
    </row>
    <row r="28" spans="1:6" x14ac:dyDescent="0.3">
      <c r="A28" s="48" t="s">
        <v>246</v>
      </c>
      <c r="B28" s="23">
        <v>720000</v>
      </c>
      <c r="C28" s="8"/>
    </row>
    <row r="29" spans="1:6" x14ac:dyDescent="0.3">
      <c r="A29" s="48" t="s">
        <v>245</v>
      </c>
      <c r="B29" s="20">
        <v>1800000</v>
      </c>
      <c r="C29" s="38"/>
      <c r="D29" s="20"/>
      <c r="E29" s="20"/>
    </row>
    <row r="30" spans="1:6" x14ac:dyDescent="0.3">
      <c r="A30" s="48" t="s">
        <v>244</v>
      </c>
      <c r="B30" s="20">
        <v>260000</v>
      </c>
      <c r="D30" s="20"/>
      <c r="E30" s="20"/>
      <c r="F30" s="20"/>
    </row>
    <row r="31" spans="1:6" x14ac:dyDescent="0.3">
      <c r="A31" s="48" t="s">
        <v>247</v>
      </c>
      <c r="B31" s="26">
        <v>3900000</v>
      </c>
      <c r="D31" s="20"/>
      <c r="E31" s="20"/>
      <c r="F31" s="20"/>
    </row>
    <row r="32" spans="1:6" x14ac:dyDescent="0.3">
      <c r="A32" s="48"/>
      <c r="B32" s="27">
        <f>SUM(B28:B31)</f>
        <v>6680000</v>
      </c>
      <c r="D32" s="20"/>
      <c r="E32" s="20"/>
      <c r="F32" s="20"/>
    </row>
    <row r="33" spans="1:6" x14ac:dyDescent="0.3">
      <c r="A33" s="48"/>
      <c r="B33" s="20"/>
      <c r="C33" s="38"/>
      <c r="D33" s="20"/>
      <c r="E33" s="20"/>
    </row>
    <row r="34" spans="1:6" x14ac:dyDescent="0.3">
      <c r="A34" s="48"/>
      <c r="B34" s="20"/>
      <c r="D34" s="20"/>
      <c r="E34" s="20"/>
      <c r="F34" s="20"/>
    </row>
    <row r="35" spans="1:6" x14ac:dyDescent="0.3">
      <c r="A35" s="48"/>
      <c r="B35" s="20"/>
      <c r="D35" s="20"/>
      <c r="E35" s="20"/>
      <c r="F35" s="20"/>
    </row>
    <row r="36" spans="1:6" x14ac:dyDescent="0.3">
      <c r="C36" s="49"/>
    </row>
    <row r="37" spans="1:6" x14ac:dyDescent="0.3">
      <c r="A37" s="48"/>
      <c r="B37" s="20"/>
      <c r="C37" s="38"/>
      <c r="D37" s="20"/>
      <c r="E37" s="20"/>
    </row>
    <row r="38" spans="1:6" x14ac:dyDescent="0.3">
      <c r="B38" s="20"/>
    </row>
    <row r="39" spans="1:6" x14ac:dyDescent="0.3">
      <c r="B39" s="20"/>
      <c r="C39" s="49"/>
    </row>
    <row r="40" spans="1:6" x14ac:dyDescent="0.3">
      <c r="A40" s="48"/>
      <c r="B40" s="20"/>
      <c r="C40" s="38"/>
      <c r="D40" s="20"/>
      <c r="E40" s="20"/>
      <c r="F40" s="20"/>
    </row>
    <row r="41" spans="1:6" x14ac:dyDescent="0.3">
      <c r="A41" s="48"/>
      <c r="B41" s="20"/>
      <c r="C41" s="49"/>
      <c r="D41" s="20"/>
      <c r="E41" s="20"/>
      <c r="F41" s="20"/>
    </row>
    <row r="42" spans="1:6" x14ac:dyDescent="0.3">
      <c r="A42" s="48"/>
      <c r="B42" s="20"/>
      <c r="C42" s="49"/>
      <c r="D42" s="20"/>
      <c r="E42" s="20"/>
      <c r="F42" s="20"/>
    </row>
    <row r="43" spans="1:6" x14ac:dyDescent="0.3">
      <c r="A43" s="48"/>
      <c r="B43" s="20"/>
      <c r="C43" s="49"/>
      <c r="D43" s="20"/>
      <c r="E43" s="20"/>
      <c r="F43" s="20"/>
    </row>
    <row r="44" spans="1:6" x14ac:dyDescent="0.3">
      <c r="A44" s="48"/>
      <c r="B44" s="20"/>
      <c r="D44" s="20"/>
      <c r="E44" s="20"/>
      <c r="F44" s="20"/>
    </row>
    <row r="45" spans="1:6" x14ac:dyDescent="0.3">
      <c r="A45" s="48"/>
      <c r="B45" s="20"/>
      <c r="D45" s="20"/>
      <c r="E45" s="20"/>
      <c r="F45" s="20"/>
    </row>
    <row r="46" spans="1:6" x14ac:dyDescent="0.3">
      <c r="A46" s="48"/>
      <c r="B46" s="20"/>
      <c r="D46" s="20"/>
      <c r="E46" s="20"/>
      <c r="F46" s="20"/>
    </row>
    <row r="47" spans="1:6" x14ac:dyDescent="0.3">
      <c r="A47" s="48"/>
      <c r="B47" s="20"/>
      <c r="C47" s="38"/>
      <c r="D47" s="20"/>
      <c r="E47" s="20"/>
      <c r="F47" s="20"/>
    </row>
    <row r="48" spans="1:6" x14ac:dyDescent="0.3">
      <c r="A48" s="48"/>
      <c r="B48" s="20"/>
      <c r="D48" s="20"/>
      <c r="E48" s="20"/>
      <c r="F48" s="20"/>
    </row>
    <row r="49" spans="1:6" x14ac:dyDescent="0.3">
      <c r="A49" s="48"/>
      <c r="B49" s="20"/>
      <c r="D49" s="20"/>
      <c r="E49" s="20"/>
      <c r="F49" s="20"/>
    </row>
    <row r="50" spans="1:6" x14ac:dyDescent="0.3">
      <c r="A50" s="48"/>
      <c r="B50" s="20"/>
      <c r="C50" s="49"/>
      <c r="D50" s="20"/>
      <c r="E50" s="20"/>
      <c r="F50" s="20"/>
    </row>
    <row r="51" spans="1:6" x14ac:dyDescent="0.3">
      <c r="A51" s="48"/>
      <c r="B51" s="20"/>
      <c r="D51" s="20"/>
      <c r="E51" s="20"/>
      <c r="F51" s="20"/>
    </row>
    <row r="52" spans="1:6" x14ac:dyDescent="0.3">
      <c r="A52" s="48"/>
      <c r="B52" s="20"/>
      <c r="D52" s="20"/>
      <c r="E52" s="20"/>
      <c r="F52" s="20"/>
    </row>
    <row r="53" spans="1:6" x14ac:dyDescent="0.3">
      <c r="C53" s="49"/>
    </row>
    <row r="55" spans="1:6" x14ac:dyDescent="0.3">
      <c r="A55" s="50"/>
      <c r="C55" s="49"/>
    </row>
    <row r="56" spans="1:6" x14ac:dyDescent="0.3">
      <c r="A56" s="50"/>
      <c r="C56" s="50"/>
    </row>
    <row r="57" spans="1:6" x14ac:dyDescent="0.3">
      <c r="A57" s="48"/>
      <c r="B57" s="20"/>
      <c r="C57" s="49"/>
      <c r="D57" s="20"/>
      <c r="E57" s="20"/>
      <c r="F57" s="20"/>
    </row>
    <row r="58" spans="1:6" x14ac:dyDescent="0.3">
      <c r="A58" s="48"/>
      <c r="B58" s="26"/>
      <c r="C58" s="49"/>
      <c r="D58" s="26"/>
      <c r="E58" s="26"/>
      <c r="F58" s="26"/>
    </row>
    <row r="59" spans="1:6" x14ac:dyDescent="0.3">
      <c r="A59" s="41"/>
      <c r="B59" s="51"/>
      <c r="D59" s="34"/>
      <c r="E59" s="34"/>
      <c r="F59" s="34"/>
    </row>
    <row r="60" spans="1:6" x14ac:dyDescent="0.3">
      <c r="A60" s="41"/>
      <c r="B60" s="27"/>
      <c r="C60" s="38"/>
      <c r="D60" s="37"/>
      <c r="E60" s="37"/>
      <c r="F60" s="37"/>
    </row>
    <row r="61" spans="1:6" x14ac:dyDescent="0.3">
      <c r="A61" s="52"/>
      <c r="C61" s="38"/>
    </row>
    <row r="62" spans="1:6" ht="16.8" x14ac:dyDescent="0.3">
      <c r="A62" s="46"/>
      <c r="B62" s="27"/>
      <c r="C62" s="38"/>
      <c r="F62" s="40"/>
    </row>
    <row r="63" spans="1:6" x14ac:dyDescent="0.3">
      <c r="A63" s="43"/>
      <c r="B63" s="27"/>
      <c r="C63" s="38"/>
    </row>
    <row r="65" spans="1:6" x14ac:dyDescent="0.3">
      <c r="A65" s="48"/>
    </row>
    <row r="66" spans="1:6" x14ac:dyDescent="0.3">
      <c r="A66" s="48"/>
    </row>
    <row r="67" spans="1:6" x14ac:dyDescent="0.3">
      <c r="A67" s="48"/>
    </row>
    <row r="69" spans="1:6" x14ac:dyDescent="0.3">
      <c r="A69" s="48"/>
    </row>
    <row r="70" spans="1:6" x14ac:dyDescent="0.3">
      <c r="B70" s="20"/>
      <c r="D70" s="20"/>
      <c r="E70" s="20"/>
      <c r="F70" s="20"/>
    </row>
    <row r="71" spans="1:6" x14ac:dyDescent="0.3">
      <c r="A71" s="48"/>
      <c r="B71" s="20"/>
      <c r="D71" s="20"/>
    </row>
    <row r="72" spans="1:6" x14ac:dyDescent="0.3">
      <c r="A72" s="48"/>
      <c r="B72" s="20"/>
      <c r="D72" s="20"/>
    </row>
    <row r="73" spans="1:6" x14ac:dyDescent="0.3">
      <c r="A73" s="48"/>
      <c r="B73" s="26"/>
      <c r="D73" s="26"/>
    </row>
    <row r="74" spans="1:6" x14ac:dyDescent="0.3">
      <c r="A74" s="43"/>
      <c r="B74" s="55"/>
      <c r="D74" s="27"/>
    </row>
    <row r="75" spans="1:6" x14ac:dyDescent="0.3">
      <c r="A75" s="43"/>
      <c r="B75" s="27"/>
      <c r="D75" s="27"/>
    </row>
    <row r="76" spans="1:6" x14ac:dyDescent="0.3">
      <c r="A76" s="43"/>
      <c r="B76" s="27"/>
      <c r="D76" s="27"/>
    </row>
    <row r="77" spans="1:6" ht="16.8" x14ac:dyDescent="0.3">
      <c r="A77" s="46"/>
      <c r="B77" s="27"/>
      <c r="D77" s="27"/>
    </row>
    <row r="78" spans="1:6" x14ac:dyDescent="0.3">
      <c r="A78" s="43"/>
      <c r="B78" s="27"/>
      <c r="D78" s="27"/>
    </row>
    <row r="79" spans="1:6" x14ac:dyDescent="0.3">
      <c r="A79" s="1"/>
      <c r="B79" s="60"/>
      <c r="D79" s="60"/>
    </row>
    <row r="80" spans="1:6" x14ac:dyDescent="0.3">
      <c r="A80" s="1"/>
      <c r="B80" s="60"/>
      <c r="D80" s="60"/>
    </row>
    <row r="81" spans="1:6" x14ac:dyDescent="0.3">
      <c r="A81" s="1"/>
      <c r="B81" s="60"/>
      <c r="D81" s="60"/>
    </row>
    <row r="82" spans="1:6" x14ac:dyDescent="0.3">
      <c r="A82" s="1"/>
      <c r="B82" s="60"/>
      <c r="D82" s="60"/>
    </row>
    <row r="83" spans="1:6" x14ac:dyDescent="0.3">
      <c r="A83" s="1"/>
      <c r="B83" s="60"/>
      <c r="D83" s="60"/>
    </row>
    <row r="84" spans="1:6" x14ac:dyDescent="0.3">
      <c r="A84" s="1"/>
      <c r="B84" s="60"/>
      <c r="D84" s="60"/>
    </row>
    <row r="85" spans="1:6" x14ac:dyDescent="0.3">
      <c r="A85" s="1"/>
      <c r="B85" s="60"/>
      <c r="D85" s="60"/>
    </row>
    <row r="86" spans="1:6" x14ac:dyDescent="0.3">
      <c r="A86" s="1"/>
      <c r="B86" s="60"/>
      <c r="D86" s="60"/>
    </row>
    <row r="87" spans="1:6" x14ac:dyDescent="0.3">
      <c r="A87" s="1"/>
      <c r="B87" s="60"/>
      <c r="D87" s="60"/>
    </row>
    <row r="88" spans="1:6" x14ac:dyDescent="0.3">
      <c r="A88" s="1"/>
      <c r="B88" s="60"/>
      <c r="D88" s="60"/>
    </row>
    <row r="89" spans="1:6" x14ac:dyDescent="0.3">
      <c r="A89" s="1"/>
      <c r="B89" s="60"/>
      <c r="D89" s="60"/>
      <c r="F89" s="59"/>
    </row>
    <row r="90" spans="1:6" x14ac:dyDescent="0.3">
      <c r="A90" s="1"/>
      <c r="B90" s="60"/>
      <c r="D90" s="60"/>
    </row>
    <row r="91" spans="1:6" x14ac:dyDescent="0.3">
      <c r="A91" s="1"/>
      <c r="B91" s="60"/>
      <c r="D91" s="60"/>
    </row>
    <row r="92" spans="1:6" x14ac:dyDescent="0.3">
      <c r="A92" s="1"/>
      <c r="B92" s="61"/>
      <c r="D92" s="61"/>
    </row>
    <row r="93" spans="1:6" x14ac:dyDescent="0.3">
      <c r="A93" s="43"/>
      <c r="B93" s="57"/>
      <c r="D93" s="57"/>
    </row>
    <row r="94" spans="1:6" x14ac:dyDescent="0.3">
      <c r="A94" s="43"/>
      <c r="B94" s="55"/>
      <c r="D94" s="27"/>
    </row>
    <row r="95" spans="1:6" x14ac:dyDescent="0.3">
      <c r="A95" s="43"/>
      <c r="B95" s="32"/>
    </row>
    <row r="96" spans="1:6" x14ac:dyDescent="0.3">
      <c r="A96" s="41"/>
      <c r="B96" s="27"/>
      <c r="C96" s="38"/>
    </row>
    <row r="97" spans="1:6" ht="16.8" x14ac:dyDescent="0.3">
      <c r="A97" s="46"/>
      <c r="B97" s="27"/>
      <c r="C97" s="38"/>
      <c r="D97" s="20"/>
      <c r="E97" s="20"/>
      <c r="F97" s="20"/>
    </row>
    <row r="98" spans="1:6" x14ac:dyDescent="0.3">
      <c r="A98" s="43"/>
      <c r="B98" s="27"/>
      <c r="D98" s="20"/>
      <c r="E98" s="20"/>
      <c r="F98" s="20"/>
    </row>
    <row r="99" spans="1:6" x14ac:dyDescent="0.3">
      <c r="B99" s="25"/>
      <c r="C99" s="38"/>
    </row>
    <row r="100" spans="1:6" x14ac:dyDescent="0.3">
      <c r="A100" s="41"/>
      <c r="B100" s="27"/>
      <c r="C100" s="38"/>
      <c r="D100" s="20"/>
      <c r="E100" s="20"/>
      <c r="F100" s="20"/>
    </row>
    <row r="101" spans="1:6" x14ac:dyDescent="0.3">
      <c r="A101" s="52"/>
      <c r="B101" s="20"/>
      <c r="C101" s="38"/>
      <c r="D101" s="20"/>
      <c r="E101" s="20"/>
      <c r="F101" s="20"/>
    </row>
    <row r="102" spans="1:6" ht="16.8" x14ac:dyDescent="0.3">
      <c r="A102" s="46"/>
      <c r="B102" s="27"/>
    </row>
    <row r="103" spans="1:6" x14ac:dyDescent="0.3">
      <c r="A103" s="43"/>
      <c r="B103" s="27"/>
    </row>
    <row r="104" spans="1:6" x14ac:dyDescent="0.3">
      <c r="A104" s="48"/>
      <c r="B104" s="20"/>
      <c r="C104" s="49"/>
      <c r="D104" s="20"/>
      <c r="E104" s="20"/>
      <c r="F104" s="20"/>
    </row>
    <row r="105" spans="1:6" x14ac:dyDescent="0.3">
      <c r="A105" s="48"/>
      <c r="B105" s="26"/>
      <c r="C105" s="49"/>
      <c r="D105" s="20"/>
      <c r="E105" s="20"/>
      <c r="F105" s="20"/>
    </row>
    <row r="106" spans="1:6" x14ac:dyDescent="0.3">
      <c r="A106" s="43"/>
      <c r="B106" s="55"/>
      <c r="C106" s="49"/>
      <c r="D106" s="20"/>
      <c r="E106" s="20"/>
      <c r="F106" s="20"/>
    </row>
    <row r="107" spans="1:6" x14ac:dyDescent="0.3">
      <c r="A107" s="41"/>
      <c r="B107" s="27"/>
      <c r="C107" s="38"/>
      <c r="D107" s="20"/>
      <c r="E107" s="20"/>
      <c r="F107" s="20"/>
    </row>
    <row r="108" spans="1:6" x14ac:dyDescent="0.3">
      <c r="A108" s="52"/>
      <c r="B108" s="20"/>
      <c r="C108" s="38"/>
      <c r="D108" s="20"/>
      <c r="E108" s="20"/>
      <c r="F108" s="20"/>
    </row>
    <row r="109" spans="1:6" x14ac:dyDescent="0.3">
      <c r="B109" s="20"/>
      <c r="C109" s="38"/>
      <c r="D109" s="20"/>
      <c r="E109" s="20"/>
      <c r="F109" s="20"/>
    </row>
    <row r="110" spans="1:6" x14ac:dyDescent="0.3">
      <c r="B110" s="20"/>
      <c r="C110" s="38"/>
      <c r="D110" s="20"/>
      <c r="E110" s="20"/>
      <c r="F110" s="20"/>
    </row>
    <row r="111" spans="1:6" x14ac:dyDescent="0.3">
      <c r="A111" s="52"/>
      <c r="B111" s="20"/>
      <c r="C111" s="38"/>
      <c r="D111" s="20"/>
      <c r="E111" s="20"/>
      <c r="F111" s="20"/>
    </row>
    <row r="112" spans="1:6" x14ac:dyDescent="0.3">
      <c r="C112" s="38"/>
    </row>
    <row r="113" spans="1:6" x14ac:dyDescent="0.3">
      <c r="B113" s="20"/>
      <c r="C113" s="38"/>
    </row>
    <row r="114" spans="1:6" x14ac:dyDescent="0.3">
      <c r="A114" s="52"/>
      <c r="B114" s="20"/>
      <c r="C114" s="38"/>
      <c r="D114" s="20"/>
      <c r="E114" s="20"/>
      <c r="F114" s="20"/>
    </row>
    <row r="115" spans="1:6" x14ac:dyDescent="0.3">
      <c r="A115" s="52"/>
      <c r="B115" s="20"/>
      <c r="C115" s="38"/>
      <c r="D115" s="20"/>
      <c r="E115" s="20"/>
      <c r="F115" s="20"/>
    </row>
    <row r="116" spans="1:6" x14ac:dyDescent="0.3">
      <c r="A116" s="52"/>
      <c r="B116" s="20"/>
      <c r="C116" s="38"/>
      <c r="D116" s="20"/>
      <c r="E116" s="20"/>
      <c r="F116" s="20"/>
    </row>
    <row r="117" spans="1:6" x14ac:dyDescent="0.3">
      <c r="C117" s="38"/>
    </row>
    <row r="119" spans="1:6" x14ac:dyDescent="0.3">
      <c r="A119" s="41"/>
      <c r="B119" s="32"/>
      <c r="D119" s="32"/>
      <c r="E119" s="32"/>
      <c r="F119" s="32"/>
    </row>
    <row r="121" spans="1:6" x14ac:dyDescent="0.3">
      <c r="C121" s="53"/>
    </row>
    <row r="122" spans="1:6" x14ac:dyDescent="0.3">
      <c r="C122" s="53"/>
    </row>
    <row r="123" spans="1:6" x14ac:dyDescent="0.3">
      <c r="C123" s="53"/>
    </row>
    <row r="124" spans="1:6" x14ac:dyDescent="0.3">
      <c r="C124" s="53"/>
    </row>
    <row r="125" spans="1:6" x14ac:dyDescent="0.3">
      <c r="B125" s="32"/>
      <c r="C125" s="54"/>
      <c r="D125" s="32"/>
      <c r="E125" s="32"/>
      <c r="F125" s="32"/>
    </row>
    <row r="126" spans="1:6" x14ac:dyDescent="0.3">
      <c r="A126" s="41"/>
      <c r="C126" s="54"/>
    </row>
    <row r="127" spans="1:6" x14ac:dyDescent="0.3">
      <c r="C127" s="54"/>
    </row>
    <row r="131" spans="2:6" x14ac:dyDescent="0.3">
      <c r="B131" s="32"/>
      <c r="D131" s="32"/>
      <c r="E131" s="32"/>
      <c r="F131" s="3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F0CD-ECDF-47D4-9E8B-5F07985733CC}">
  <dimension ref="A1:A37"/>
  <sheetViews>
    <sheetView workbookViewId="0">
      <selection activeCell="A19" sqref="A19:XFD19"/>
    </sheetView>
  </sheetViews>
  <sheetFormatPr defaultColWidth="9.109375" defaultRowHeight="13.8" x14ac:dyDescent="0.25"/>
  <cols>
    <col min="1" max="1" width="183.88671875" style="1" customWidth="1"/>
    <col min="2" max="16384" width="9.109375" style="1"/>
  </cols>
  <sheetData>
    <row r="1" spans="1:1" x14ac:dyDescent="0.25">
      <c r="A1" s="30" t="s">
        <v>77</v>
      </c>
    </row>
    <row r="2" spans="1:1" x14ac:dyDescent="0.25">
      <c r="A2" s="41" t="s">
        <v>231</v>
      </c>
    </row>
    <row r="3" spans="1:1" x14ac:dyDescent="0.25">
      <c r="A3" s="19"/>
    </row>
    <row r="4" spans="1:1" x14ac:dyDescent="0.25">
      <c r="A4" s="29" t="s">
        <v>165</v>
      </c>
    </row>
    <row r="5" spans="1:1" x14ac:dyDescent="0.25">
      <c r="A5" s="56" t="s">
        <v>213</v>
      </c>
    </row>
    <row r="6" spans="1:1" x14ac:dyDescent="0.25">
      <c r="A6" s="56" t="s">
        <v>173</v>
      </c>
    </row>
    <row r="7" spans="1:1" x14ac:dyDescent="0.25">
      <c r="A7" s="56" t="s">
        <v>174</v>
      </c>
    </row>
    <row r="8" spans="1:1" x14ac:dyDescent="0.25">
      <c r="A8" s="56" t="s">
        <v>175</v>
      </c>
    </row>
    <row r="9" spans="1:1" x14ac:dyDescent="0.25">
      <c r="A9" s="56" t="s">
        <v>222</v>
      </c>
    </row>
    <row r="10" spans="1:1" x14ac:dyDescent="0.25">
      <c r="A10" s="56" t="s">
        <v>176</v>
      </c>
    </row>
    <row r="11" spans="1:1" x14ac:dyDescent="0.25">
      <c r="A11" s="56" t="s">
        <v>223</v>
      </c>
    </row>
    <row r="12" spans="1:1" x14ac:dyDescent="0.25">
      <c r="A12" s="56" t="s">
        <v>177</v>
      </c>
    </row>
    <row r="13" spans="1:1" ht="27.6" x14ac:dyDescent="0.25">
      <c r="A13" s="56" t="s">
        <v>214</v>
      </c>
    </row>
    <row r="14" spans="1:1" x14ac:dyDescent="0.25">
      <c r="A14" s="56" t="s">
        <v>215</v>
      </c>
    </row>
    <row r="15" spans="1:1" x14ac:dyDescent="0.25">
      <c r="A15" s="56" t="s">
        <v>178</v>
      </c>
    </row>
    <row r="16" spans="1:1" x14ac:dyDescent="0.25">
      <c r="A16" s="56" t="s">
        <v>179</v>
      </c>
    </row>
    <row r="17" spans="1:1" ht="27.6" x14ac:dyDescent="0.25">
      <c r="A17" s="56" t="s">
        <v>180</v>
      </c>
    </row>
    <row r="18" spans="1:1" x14ac:dyDescent="0.25">
      <c r="A18" s="56" t="s">
        <v>181</v>
      </c>
    </row>
    <row r="19" spans="1:1" x14ac:dyDescent="0.25">
      <c r="A19" s="56" t="s">
        <v>182</v>
      </c>
    </row>
    <row r="20" spans="1:1" x14ac:dyDescent="0.25">
      <c r="A20" s="56" t="s">
        <v>183</v>
      </c>
    </row>
    <row r="21" spans="1:1" x14ac:dyDescent="0.25">
      <c r="A21" s="56" t="s">
        <v>186</v>
      </c>
    </row>
    <row r="22" spans="1:1" x14ac:dyDescent="0.25">
      <c r="A22" s="56" t="s">
        <v>226</v>
      </c>
    </row>
    <row r="23" spans="1:1" x14ac:dyDescent="0.25">
      <c r="A23" s="56" t="s">
        <v>216</v>
      </c>
    </row>
    <row r="24" spans="1:1" x14ac:dyDescent="0.25">
      <c r="A24" s="56" t="s">
        <v>184</v>
      </c>
    </row>
    <row r="25" spans="1:1" x14ac:dyDescent="0.25">
      <c r="A25" s="29" t="s">
        <v>185</v>
      </c>
    </row>
    <row r="26" spans="1:1" x14ac:dyDescent="0.25">
      <c r="A26" s="29"/>
    </row>
    <row r="27" spans="1:1" x14ac:dyDescent="0.25">
      <c r="A27" s="30" t="s">
        <v>166</v>
      </c>
    </row>
    <row r="28" spans="1:1" x14ac:dyDescent="0.25">
      <c r="A28" s="29" t="s">
        <v>188</v>
      </c>
    </row>
    <row r="29" spans="1:1" x14ac:dyDescent="0.25">
      <c r="A29" s="29" t="s">
        <v>230</v>
      </c>
    </row>
    <row r="30" spans="1:1" x14ac:dyDescent="0.25">
      <c r="A30" s="29" t="s">
        <v>118</v>
      </c>
    </row>
    <row r="31" spans="1:1" x14ac:dyDescent="0.25">
      <c r="A31" s="29" t="s">
        <v>144</v>
      </c>
    </row>
    <row r="32" spans="1:1" x14ac:dyDescent="0.25">
      <c r="A32" s="29" t="s">
        <v>120</v>
      </c>
    </row>
    <row r="33" spans="1:1" x14ac:dyDescent="0.25">
      <c r="A33" s="29" t="s">
        <v>119</v>
      </c>
    </row>
    <row r="34" spans="1:1" x14ac:dyDescent="0.25">
      <c r="A34" s="29" t="s">
        <v>122</v>
      </c>
    </row>
    <row r="35" spans="1:1" x14ac:dyDescent="0.25">
      <c r="A35" s="29" t="s">
        <v>121</v>
      </c>
    </row>
    <row r="36" spans="1:1" x14ac:dyDescent="0.25">
      <c r="A36" s="56" t="s">
        <v>229</v>
      </c>
    </row>
    <row r="37" spans="1:1" x14ac:dyDescent="0.25">
      <c r="A37" s="29" t="s">
        <v>78</v>
      </c>
    </row>
  </sheetData>
  <pageMargins left="0.45" right="0.45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WKY</vt:lpstr>
      <vt:lpstr>EKY</vt:lpstr>
      <vt:lpstr>4860</vt:lpstr>
      <vt:lpstr>Denied</vt:lpstr>
      <vt:lpstr>EKY!Print_Titles</vt:lpstr>
      <vt:lpstr>WKY!Print_Titles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John.Hicks</dc:creator>
  <cp:lastModifiedBy>Hicks, John T (OSBD)</cp:lastModifiedBy>
  <cp:lastPrinted>2025-05-02T12:40:56Z</cp:lastPrinted>
  <dcterms:created xsi:type="dcterms:W3CDTF">2022-02-14T17:49:56Z</dcterms:created>
  <dcterms:modified xsi:type="dcterms:W3CDTF">2025-06-16T12:48:19Z</dcterms:modified>
</cp:coreProperties>
</file>